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Default Extension="vml" ContentType="application/vnd.openxmlformats-officedocument.vmlDrawing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5" windowWidth="11340" windowHeight="8400" tabRatio="942" activeTab="0"/>
  </bookViews>
  <sheets>
    <sheet name="Main" sheetId="1" r:id="rId1"/>
    <sheet name="Input" sheetId="2" r:id="rId2"/>
    <sheet name="Setup Bm Input" sheetId="3" r:id="rId3"/>
    <sheet name="Anch Move" sheetId="4" r:id="rId4"/>
    <sheet name="Self Stress" sheetId="5" r:id="rId5"/>
    <sheet name="Thermal" sheetId="6" r:id="rId6"/>
    <sheet name="Singlet E" sheetId="7" r:id="rId7"/>
    <sheet name="Singlet F" sheetId="8" r:id="rId8"/>
    <sheet name="IL36-72 Ten" sheetId="9" r:id="rId9"/>
    <sheet name="IL27 Ten" sheetId="10" r:id="rId10"/>
    <sheet name="Source" sheetId="11" r:id="rId11"/>
    <sheet name="Pour 1" sheetId="12" r:id="rId12"/>
    <sheet name="Pour 2" sheetId="13" r:id="rId13"/>
    <sheet name="ILBeam Tol" sheetId="14" r:id="rId14"/>
    <sheet name="Assn" sheetId="15" r:id="rId15"/>
    <sheet name="Final" sheetId="16" r:id="rId16"/>
    <sheet name="Data" sheetId="17" r:id="rId17"/>
  </sheets>
  <definedNames>
    <definedName name="DrapedStrands">'Setup Bm Input'!$A$46</definedName>
    <definedName name="_xlnm.Print_Area" localSheetId="3">'Anch Move'!$A$14:$K$66</definedName>
    <definedName name="_xlnm.Print_Area" localSheetId="14">'Assn'!$A$10:$H$58</definedName>
    <definedName name="_xlnm.Print_Area" localSheetId="15">'Final'!$A$7:$J$55</definedName>
    <definedName name="_xlnm.Print_Area" localSheetId="9">'IL27 Ten'!$A$8:$O$82</definedName>
    <definedName name="_xlnm.Print_Area" localSheetId="8">'IL36-72 Ten'!$A$8:$O$94</definedName>
    <definedName name="_xlnm.Print_Area" localSheetId="13">'ILBeam Tol'!$A$9:$Q$73</definedName>
    <definedName name="_xlnm.Print_Area" localSheetId="1">'Input'!$A$1:$G$91</definedName>
    <definedName name="_xlnm.Print_Area" localSheetId="0">'Main'!$A$1:$J$32</definedName>
    <definedName name="_xlnm.Print_Area" localSheetId="11">'Pour 1'!$A$14:$P$67</definedName>
    <definedName name="_xlnm.Print_Area" localSheetId="12">'Pour 2'!$A$14:$P$67</definedName>
    <definedName name="_xlnm.Print_Area" localSheetId="4">'Self Stress'!$A$14:$K$66</definedName>
    <definedName name="_xlnm.Print_Area" localSheetId="2">'Setup Bm Input'!$A$5:$K$73</definedName>
    <definedName name="_xlnm.Print_Area" localSheetId="6">'Singlet E'!$A$9:$K$94</definedName>
    <definedName name="_xlnm.Print_Area" localSheetId="7">'Singlet F'!$A$9:$K$82</definedName>
    <definedName name="_xlnm.Print_Area" localSheetId="10">'Source'!$A$8:$I$89</definedName>
    <definedName name="_xlnm.Print_Area" localSheetId="5">'Thermal'!$A$23:$K$81</definedName>
  </definedNames>
  <calcPr fullCalcOnLoad="1"/>
</workbook>
</file>

<file path=xl/sharedStrings.xml><?xml version="1.0" encoding="utf-8"?>
<sst xmlns="http://schemas.openxmlformats.org/spreadsheetml/2006/main" count="2218" uniqueCount="1279">
  <si>
    <t>DCI Unit</t>
  </si>
  <si>
    <t>DCI Quantity</t>
  </si>
  <si>
    <t>RET P/S #</t>
  </si>
  <si>
    <t>RET Unit</t>
  </si>
  <si>
    <t>RET Quantity</t>
  </si>
  <si>
    <t>SUPER P/S #</t>
  </si>
  <si>
    <t>SUPER Unit</t>
  </si>
  <si>
    <t>SUPER Quantity</t>
  </si>
  <si>
    <t>Cement Item</t>
  </si>
  <si>
    <t>Cement Code</t>
  </si>
  <si>
    <t>Fly Ash Code</t>
  </si>
  <si>
    <t>Fly Ash Item</t>
  </si>
  <si>
    <t>CA 1 Code</t>
  </si>
  <si>
    <t>CA 1 Item</t>
  </si>
  <si>
    <t>CA 2 Code</t>
  </si>
  <si>
    <t>CA 2 Item</t>
  </si>
  <si>
    <t>FA Code</t>
  </si>
  <si>
    <t>FA Item</t>
  </si>
  <si>
    <t>AEA Code</t>
  </si>
  <si>
    <t>AEA Item</t>
  </si>
  <si>
    <t>WRDA Code</t>
  </si>
  <si>
    <t>WRDA Item</t>
  </si>
  <si>
    <t>DCI Code</t>
  </si>
  <si>
    <t>DCI Item</t>
  </si>
  <si>
    <t>RET Code</t>
  </si>
  <si>
    <t>RET Item</t>
  </si>
  <si>
    <t>SUPER Code</t>
  </si>
  <si>
    <t>SUPER Item</t>
  </si>
  <si>
    <t>MS P/S #</t>
  </si>
  <si>
    <t>MS Unit</t>
  </si>
  <si>
    <t>MS Quantity</t>
  </si>
  <si>
    <t>MS Code</t>
  </si>
  <si>
    <t>MS Item</t>
  </si>
  <si>
    <t>Optional Mix No.</t>
  </si>
  <si>
    <t>All Suppliers</t>
  </si>
  <si>
    <t>Prod and Receiving Agencies</t>
  </si>
  <si>
    <t>IDOT/Consultant Inspectors</t>
  </si>
  <si>
    <t>Producer's Contractor</t>
  </si>
  <si>
    <t>Basic BEAM Table</t>
  </si>
  <si>
    <t>Mix Information Table #1</t>
  </si>
  <si>
    <t>Mix Information Table #2</t>
  </si>
  <si>
    <t>Information Table</t>
  </si>
  <si>
    <t>RE</t>
  </si>
  <si>
    <t>P/S # (Repeated)</t>
  </si>
  <si>
    <t>**For Blank Cells in a Row with Information, Input a Space**</t>
  </si>
  <si>
    <t>Item</t>
  </si>
  <si>
    <t>Vernacular Name</t>
  </si>
  <si>
    <t>NOTE: Please be careful Table Lookups are Unprotected to permit you to type in names and units.</t>
  </si>
  <si>
    <t>P/S #:</t>
  </si>
  <si>
    <t>Payment Measure:</t>
  </si>
  <si>
    <t>Date Printed:</t>
  </si>
  <si>
    <t>Thermal Correction (Group I Loss)</t>
  </si>
  <si>
    <t xml:space="preserve">CYLINDER 3 Load (Ship): </t>
  </si>
  <si>
    <t xml:space="preserve">CYLINDER 2 Load (Cut): </t>
  </si>
  <si>
    <t xml:space="preserve">CYLINDER 1 Load (Cut): </t>
  </si>
  <si>
    <t>Notes: Group I losses correct for load and elongation. Group II losses correct for elongation only.</t>
  </si>
  <si>
    <t>Corrected</t>
  </si>
  <si>
    <t xml:space="preserve">      Straight Strands</t>
  </si>
  <si>
    <t>e-5%</t>
  </si>
  <si>
    <t>e+5%</t>
  </si>
  <si>
    <t xml:space="preserve">          Draped Strands</t>
  </si>
  <si>
    <t xml:space="preserve">      Draped Strands</t>
  </si>
  <si>
    <t xml:space="preserve">Permitted </t>
  </si>
  <si>
    <t>Exceeded?</t>
  </si>
  <si>
    <t>Permitted</t>
  </si>
  <si>
    <t>Fraction Equivalent Factors Corrected Net</t>
  </si>
  <si>
    <t>Fraction Equivalent Factors Corrected Gross</t>
  </si>
  <si>
    <t>Corrected Gross Min/Max Allowable Elongations</t>
  </si>
  <si>
    <t>Minus 3%</t>
  </si>
  <si>
    <t>Plus 3%</t>
  </si>
  <si>
    <t>Minus 5%</t>
  </si>
  <si>
    <t>Plus 5%</t>
  </si>
  <si>
    <t>Corrected Net Min/Max Allowable Elongations</t>
  </si>
  <si>
    <t>Dead End</t>
  </si>
  <si>
    <t>Bed Description</t>
  </si>
  <si>
    <t>Code</t>
  </si>
  <si>
    <t>Cement</t>
  </si>
  <si>
    <t>Flyash</t>
  </si>
  <si>
    <t>FA</t>
  </si>
  <si>
    <t>AEA</t>
  </si>
  <si>
    <t>WRDA</t>
  </si>
  <si>
    <t>DCI</t>
  </si>
  <si>
    <t>RET</t>
  </si>
  <si>
    <t>SUPER</t>
  </si>
  <si>
    <t>Illinois Department of Transportation</t>
  </si>
  <si>
    <t>27601M</t>
  </si>
  <si>
    <t>27701M</t>
  </si>
  <si>
    <t>Meter</t>
  </si>
  <si>
    <t>SqFt</t>
  </si>
  <si>
    <t>Sq M</t>
  </si>
  <si>
    <t>A</t>
  </si>
  <si>
    <t>B</t>
  </si>
  <si>
    <t>C</t>
  </si>
  <si>
    <t>D</t>
  </si>
  <si>
    <t>E</t>
  </si>
  <si>
    <t>Prest Conc Box-Beam</t>
  </si>
  <si>
    <t>Thermal</t>
  </si>
  <si>
    <t xml:space="preserve">Weather: </t>
  </si>
  <si>
    <t xml:space="preserve">Remarks: </t>
  </si>
  <si>
    <t>(Report Below)</t>
  </si>
  <si>
    <t>Bureau of Materials &amp; Physical Research</t>
  </si>
  <si>
    <t>PLANT INSPECTION REPORT FOR PRECAST PRESTRESSED CONCRETE UNITS</t>
  </si>
  <si>
    <t xml:space="preserve">Report: </t>
  </si>
  <si>
    <t xml:space="preserve">Bed No.: </t>
  </si>
  <si>
    <t xml:space="preserve">Length: </t>
  </si>
  <si>
    <t xml:space="preserve">Producer: </t>
  </si>
  <si>
    <t xml:space="preserve">Beam No.: </t>
  </si>
  <si>
    <t>Definition of Variables</t>
  </si>
  <si>
    <t xml:space="preserve">a = </t>
  </si>
  <si>
    <t xml:space="preserve">T = </t>
  </si>
  <si>
    <t>%</t>
  </si>
  <si>
    <t>Strand</t>
  </si>
  <si>
    <t>Strands</t>
  </si>
  <si>
    <t>[Report Below]</t>
  </si>
  <si>
    <t>Reel/Pack</t>
  </si>
  <si>
    <t>e</t>
  </si>
  <si>
    <t xml:space="preserve">Straight: </t>
  </si>
  <si>
    <t xml:space="preserve">Draped: </t>
  </si>
  <si>
    <t>1/16</t>
  </si>
  <si>
    <t>1/8</t>
  </si>
  <si>
    <t>3/16</t>
  </si>
  <si>
    <t>1/4</t>
  </si>
  <si>
    <t>5/16</t>
  </si>
  <si>
    <t>3/8</t>
  </si>
  <si>
    <t>7/16</t>
  </si>
  <si>
    <t>1/2</t>
  </si>
  <si>
    <t>9/16</t>
  </si>
  <si>
    <t>5/8</t>
  </si>
  <si>
    <t>11/16</t>
  </si>
  <si>
    <t>3/4</t>
  </si>
  <si>
    <t>13/16</t>
  </si>
  <si>
    <t>7/8</t>
  </si>
  <si>
    <t>15/16</t>
  </si>
  <si>
    <t>1</t>
  </si>
  <si>
    <t>Materials Engr</t>
  </si>
  <si>
    <t>Location2</t>
  </si>
  <si>
    <t>City, St Z</t>
  </si>
  <si>
    <t xml:space="preserve"> </t>
  </si>
  <si>
    <t>2</t>
  </si>
  <si>
    <t>5</t>
  </si>
  <si>
    <t>6</t>
  </si>
  <si>
    <t>7</t>
  </si>
  <si>
    <t>8</t>
  </si>
  <si>
    <t>9</t>
  </si>
  <si>
    <t>Regional Engineer</t>
  </si>
  <si>
    <t>UNIT</t>
  </si>
  <si>
    <t>27601</t>
  </si>
  <si>
    <t>27701</t>
  </si>
  <si>
    <t>Bed#</t>
  </si>
  <si>
    <t>Name+Unit</t>
  </si>
  <si>
    <t>CA 1</t>
  </si>
  <si>
    <t>CA 2</t>
  </si>
  <si>
    <t>xfract Table</t>
  </si>
  <si>
    <t>0</t>
  </si>
  <si>
    <t>xFract Tables</t>
  </si>
  <si>
    <t>5 1/16</t>
  </si>
  <si>
    <t>5 1/8</t>
  </si>
  <si>
    <t>5 3/16</t>
  </si>
  <si>
    <t>5 1/4</t>
  </si>
  <si>
    <t>5 5/16</t>
  </si>
  <si>
    <t>5 3/8</t>
  </si>
  <si>
    <t>5 7/16</t>
  </si>
  <si>
    <t>5 1/2</t>
  </si>
  <si>
    <t>5 9/16</t>
  </si>
  <si>
    <t>5 5/8</t>
  </si>
  <si>
    <t>5 11/16</t>
  </si>
  <si>
    <t>5 3/4</t>
  </si>
  <si>
    <t>5 13/16</t>
  </si>
  <si>
    <t>5 7/8</t>
  </si>
  <si>
    <t>5 15/16</t>
  </si>
  <si>
    <t>6 1/16</t>
  </si>
  <si>
    <t>6 1/8</t>
  </si>
  <si>
    <t>6 3/16</t>
  </si>
  <si>
    <t>6 1/4</t>
  </si>
  <si>
    <t>6 5/16</t>
  </si>
  <si>
    <t>6 3/8</t>
  </si>
  <si>
    <t>6 7/16</t>
  </si>
  <si>
    <t>6 1/2</t>
  </si>
  <si>
    <t>6 9/16</t>
  </si>
  <si>
    <t>6 5/8</t>
  </si>
  <si>
    <t>6 11/16</t>
  </si>
  <si>
    <t>6 3/4</t>
  </si>
  <si>
    <t>6 13/16</t>
  </si>
  <si>
    <t>6 7/8</t>
  </si>
  <si>
    <t>6 15/16</t>
  </si>
  <si>
    <t>7 1/16</t>
  </si>
  <si>
    <t>7 1/8</t>
  </si>
  <si>
    <t>7 3/16</t>
  </si>
  <si>
    <t>7 1/4</t>
  </si>
  <si>
    <t>7 5/16</t>
  </si>
  <si>
    <t>7 3/8</t>
  </si>
  <si>
    <t>7 7/16</t>
  </si>
  <si>
    <t>7 1/2</t>
  </si>
  <si>
    <t>7 9/16</t>
  </si>
  <si>
    <t>7 5/8</t>
  </si>
  <si>
    <t>7 11/16</t>
  </si>
  <si>
    <t>7 3/4</t>
  </si>
  <si>
    <t>7 13/16</t>
  </si>
  <si>
    <t>7 7/8</t>
  </si>
  <si>
    <t>7 15/16</t>
  </si>
  <si>
    <t>8 1/16</t>
  </si>
  <si>
    <t>8 1/8</t>
  </si>
  <si>
    <t>8 3/16</t>
  </si>
  <si>
    <t>8 1/4</t>
  </si>
  <si>
    <t>8 5/16</t>
  </si>
  <si>
    <t>8 3/8</t>
  </si>
  <si>
    <t>8 7/16</t>
  </si>
  <si>
    <t>8 1/2</t>
  </si>
  <si>
    <t>8 9/16</t>
  </si>
  <si>
    <t>8 5/8</t>
  </si>
  <si>
    <t>8 11/16</t>
  </si>
  <si>
    <t>8 3/4</t>
  </si>
  <si>
    <t>8 13/16</t>
  </si>
  <si>
    <t>8 7/8</t>
  </si>
  <si>
    <t>8 15/16</t>
  </si>
  <si>
    <t>9 1/16</t>
  </si>
  <si>
    <t>9 1/8</t>
  </si>
  <si>
    <t>9 3/16</t>
  </si>
  <si>
    <t>9 1/4</t>
  </si>
  <si>
    <t>9 5/16</t>
  </si>
  <si>
    <t>9 3/8</t>
  </si>
  <si>
    <t>9 7/16</t>
  </si>
  <si>
    <t>9 1/2</t>
  </si>
  <si>
    <t>9 9/16</t>
  </si>
  <si>
    <t>9 5/8</t>
  </si>
  <si>
    <t>9 11/16</t>
  </si>
  <si>
    <t>9 3/4</t>
  </si>
  <si>
    <t>9 13/16</t>
  </si>
  <si>
    <t>9 7/8</t>
  </si>
  <si>
    <t>9 15/16</t>
  </si>
  <si>
    <t>10</t>
  </si>
  <si>
    <t>10 1/16</t>
  </si>
  <si>
    <t>10 1/8</t>
  </si>
  <si>
    <t>10 3/16</t>
  </si>
  <si>
    <t>10 1/4</t>
  </si>
  <si>
    <t>10 5/16</t>
  </si>
  <si>
    <t>10 3/8</t>
  </si>
  <si>
    <t>10 7/16</t>
  </si>
  <si>
    <t>10 1/2</t>
  </si>
  <si>
    <t>10 9/16</t>
  </si>
  <si>
    <t>10 5/8</t>
  </si>
  <si>
    <t>10 11/16</t>
  </si>
  <si>
    <t>10 3/4</t>
  </si>
  <si>
    <t>10 13/16</t>
  </si>
  <si>
    <t>10 7/8</t>
  </si>
  <si>
    <t>10 15/16</t>
  </si>
  <si>
    <t>11</t>
  </si>
  <si>
    <t>11 1/16</t>
  </si>
  <si>
    <t>11 1/8</t>
  </si>
  <si>
    <t>11 3/16</t>
  </si>
  <si>
    <t>11 1/4</t>
  </si>
  <si>
    <t>11 5/16</t>
  </si>
  <si>
    <t>11 3/8</t>
  </si>
  <si>
    <t>11 7/16</t>
  </si>
  <si>
    <t>11 1/2</t>
  </si>
  <si>
    <t>11 9/16</t>
  </si>
  <si>
    <t>11 5/8</t>
  </si>
  <si>
    <t>11 11/16</t>
  </si>
  <si>
    <t>11 3/4</t>
  </si>
  <si>
    <t>11 13/16</t>
  </si>
  <si>
    <t>11 7/8</t>
  </si>
  <si>
    <t>11 15/16</t>
  </si>
  <si>
    <t>12</t>
  </si>
  <si>
    <t>12 1/16</t>
  </si>
  <si>
    <t>12 1/8</t>
  </si>
  <si>
    <t>12 3/16</t>
  </si>
  <si>
    <t>12 1/4</t>
  </si>
  <si>
    <t>12 5/16</t>
  </si>
  <si>
    <t>12 3/8</t>
  </si>
  <si>
    <t>12 7/16</t>
  </si>
  <si>
    <t>12 1/2</t>
  </si>
  <si>
    <t>12 9/16</t>
  </si>
  <si>
    <t>12 5/8</t>
  </si>
  <si>
    <t>12 11/16</t>
  </si>
  <si>
    <t>12 3/4</t>
  </si>
  <si>
    <t>12 13/16</t>
  </si>
  <si>
    <t>12 7/8</t>
  </si>
  <si>
    <t>12 15/16</t>
  </si>
  <si>
    <t>13</t>
  </si>
  <si>
    <t>13 1/16</t>
  </si>
  <si>
    <t>13 1/8</t>
  </si>
  <si>
    <t>13 3/16</t>
  </si>
  <si>
    <t>13 1/4</t>
  </si>
  <si>
    <t>13 5/16</t>
  </si>
  <si>
    <t>13 3/8</t>
  </si>
  <si>
    <t>13 7/16</t>
  </si>
  <si>
    <t>13 1/2</t>
  </si>
  <si>
    <t>13 9/16</t>
  </si>
  <si>
    <t>13 5/8</t>
  </si>
  <si>
    <t>13 11/16</t>
  </si>
  <si>
    <t>13 3/4</t>
  </si>
  <si>
    <t>13 13/16</t>
  </si>
  <si>
    <t>13 7/8</t>
  </si>
  <si>
    <t>13 15/16</t>
  </si>
  <si>
    <t>14</t>
  </si>
  <si>
    <t>14 1/16</t>
  </si>
  <si>
    <t>14 1/8</t>
  </si>
  <si>
    <t>14 3/16</t>
  </si>
  <si>
    <t>14 1/4</t>
  </si>
  <si>
    <t>14 5/16</t>
  </si>
  <si>
    <t>14 3/8</t>
  </si>
  <si>
    <t>14 7/16</t>
  </si>
  <si>
    <t>14 1/2</t>
  </si>
  <si>
    <t>14 9/16</t>
  </si>
  <si>
    <t>14 5/8</t>
  </si>
  <si>
    <t>14 11/16</t>
  </si>
  <si>
    <t>14 3/4</t>
  </si>
  <si>
    <t>14 13/16</t>
  </si>
  <si>
    <t>14 7/8</t>
  </si>
  <si>
    <t>14 15/16</t>
  </si>
  <si>
    <t>15</t>
  </si>
  <si>
    <t>15 1/16</t>
  </si>
  <si>
    <t>15 1/8</t>
  </si>
  <si>
    <t>15 3/16</t>
  </si>
  <si>
    <t>15 1/4</t>
  </si>
  <si>
    <t>15 5/16</t>
  </si>
  <si>
    <t>15 3/8</t>
  </si>
  <si>
    <t>15 7/16</t>
  </si>
  <si>
    <t>15 1/2</t>
  </si>
  <si>
    <t>15 9/16</t>
  </si>
  <si>
    <t>15 5/8</t>
  </si>
  <si>
    <t>15 11/16</t>
  </si>
  <si>
    <t>15 3/4</t>
  </si>
  <si>
    <t>15 13/16</t>
  </si>
  <si>
    <t>15 7/8</t>
  </si>
  <si>
    <t>15 15/16</t>
  </si>
  <si>
    <t>16</t>
  </si>
  <si>
    <t>16 1/16</t>
  </si>
  <si>
    <t>16 1/8</t>
  </si>
  <si>
    <t>16 3/16</t>
  </si>
  <si>
    <t>16 1/4</t>
  </si>
  <si>
    <t>16 5/16</t>
  </si>
  <si>
    <t>16 3/8</t>
  </si>
  <si>
    <t>16 7/16</t>
  </si>
  <si>
    <t>16 1/2</t>
  </si>
  <si>
    <t>16 9/16</t>
  </si>
  <si>
    <t>16 5/8</t>
  </si>
  <si>
    <t>16 11/16</t>
  </si>
  <si>
    <t>16 3/4</t>
  </si>
  <si>
    <t>16 13/16</t>
  </si>
  <si>
    <t>16 7/8</t>
  </si>
  <si>
    <t>16 15/16</t>
  </si>
  <si>
    <t>17</t>
  </si>
  <si>
    <t>17 1/16</t>
  </si>
  <si>
    <t>17 1/8</t>
  </si>
  <si>
    <t>17 3/16</t>
  </si>
  <si>
    <t>17 1/4</t>
  </si>
  <si>
    <t>17 5/16</t>
  </si>
  <si>
    <t>17 3/8</t>
  </si>
  <si>
    <t>17 7/16</t>
  </si>
  <si>
    <t>17 1/2</t>
  </si>
  <si>
    <t>17 9/16</t>
  </si>
  <si>
    <t>V and H</t>
  </si>
  <si>
    <t>Different.</t>
  </si>
  <si>
    <t>17 5/8</t>
  </si>
  <si>
    <t>17 11/16</t>
  </si>
  <si>
    <t>17 3/4</t>
  </si>
  <si>
    <t>17 13/16</t>
  </si>
  <si>
    <t>17 7/8</t>
  </si>
  <si>
    <t>17 15/16</t>
  </si>
  <si>
    <t>18</t>
  </si>
  <si>
    <t>18 1/16</t>
  </si>
  <si>
    <t>18 1/8</t>
  </si>
  <si>
    <t>18 3/16</t>
  </si>
  <si>
    <t>18 1/4</t>
  </si>
  <si>
    <t>18 5/16</t>
  </si>
  <si>
    <t>18 3/8</t>
  </si>
  <si>
    <t>18 7/16</t>
  </si>
  <si>
    <t>18 1/2</t>
  </si>
  <si>
    <t>18 9/16</t>
  </si>
  <si>
    <t>18 5/8</t>
  </si>
  <si>
    <t>18 11/16</t>
  </si>
  <si>
    <t>18 3/4</t>
  </si>
  <si>
    <t>18 13/16</t>
  </si>
  <si>
    <t>18 7/8</t>
  </si>
  <si>
    <t>18 15/16</t>
  </si>
  <si>
    <t>19</t>
  </si>
  <si>
    <t>19 1/16</t>
  </si>
  <si>
    <t>19 1/8</t>
  </si>
  <si>
    <t>19 3/16</t>
  </si>
  <si>
    <t>19 1/4</t>
  </si>
  <si>
    <t>19 5/16</t>
  </si>
  <si>
    <t>19 3/8</t>
  </si>
  <si>
    <t>19 7/16</t>
  </si>
  <si>
    <t>19 1/2</t>
  </si>
  <si>
    <t>19 9/16</t>
  </si>
  <si>
    <t>19 5/8</t>
  </si>
  <si>
    <t>19 11/16</t>
  </si>
  <si>
    <t>19 3/4</t>
  </si>
  <si>
    <t>19 13/16</t>
  </si>
  <si>
    <t>19 7/8</t>
  </si>
  <si>
    <t>19 15/16</t>
  </si>
  <si>
    <t>20</t>
  </si>
  <si>
    <t>20 1/16</t>
  </si>
  <si>
    <t>20 1/8</t>
  </si>
  <si>
    <t>20 3/16</t>
  </si>
  <si>
    <t>20 1/4</t>
  </si>
  <si>
    <t>20 5/16</t>
  </si>
  <si>
    <t>20 3/8</t>
  </si>
  <si>
    <t>20 7/16</t>
  </si>
  <si>
    <t>20 1/2</t>
  </si>
  <si>
    <t>20 9/16</t>
  </si>
  <si>
    <t>20 5/8</t>
  </si>
  <si>
    <t>20 11/16</t>
  </si>
  <si>
    <t>20 3/4</t>
  </si>
  <si>
    <t>20 13/16</t>
  </si>
  <si>
    <t>20 7/8</t>
  </si>
  <si>
    <t>20 15/16</t>
  </si>
  <si>
    <t>21</t>
  </si>
  <si>
    <t>21 1/16</t>
  </si>
  <si>
    <t>21 1/8</t>
  </si>
  <si>
    <t>21 3/16</t>
  </si>
  <si>
    <t>21 1/4</t>
  </si>
  <si>
    <t>21 5/16</t>
  </si>
  <si>
    <t>21 3/8</t>
  </si>
  <si>
    <t>21 7/16</t>
  </si>
  <si>
    <t>21 1/2</t>
  </si>
  <si>
    <t>21 9/16</t>
  </si>
  <si>
    <t>21 5/8</t>
  </si>
  <si>
    <t>21 11/16</t>
  </si>
  <si>
    <t>21 3/4</t>
  </si>
  <si>
    <t>21 13/16</t>
  </si>
  <si>
    <t>21 7/8</t>
  </si>
  <si>
    <t>21 15/16</t>
  </si>
  <si>
    <t>22</t>
  </si>
  <si>
    <t>22 1/16</t>
  </si>
  <si>
    <t>22 1/8</t>
  </si>
  <si>
    <t>22 3/16</t>
  </si>
  <si>
    <t>22 1/4</t>
  </si>
  <si>
    <t>22 5/16</t>
  </si>
  <si>
    <t>22 3/8</t>
  </si>
  <si>
    <t>22 7/16</t>
  </si>
  <si>
    <t>22 1/2</t>
  </si>
  <si>
    <t>22 9/16</t>
  </si>
  <si>
    <t>22 5/8</t>
  </si>
  <si>
    <t>22 11/16</t>
  </si>
  <si>
    <t>22 3/4</t>
  </si>
  <si>
    <t>22 13/16</t>
  </si>
  <si>
    <t>22 7/8</t>
  </si>
  <si>
    <t>22 15/16</t>
  </si>
  <si>
    <t>23</t>
  </si>
  <si>
    <t>23 1/16</t>
  </si>
  <si>
    <t>23 1/8</t>
  </si>
  <si>
    <t>23 3/16</t>
  </si>
  <si>
    <t>23 1/4</t>
  </si>
  <si>
    <t>23 5/16</t>
  </si>
  <si>
    <t>23 3/8</t>
  </si>
  <si>
    <t>23 7/16</t>
  </si>
  <si>
    <t>23 1/2</t>
  </si>
  <si>
    <t>23 9/16</t>
  </si>
  <si>
    <t>23 5/8</t>
  </si>
  <si>
    <t>23 11/16</t>
  </si>
  <si>
    <t>23 3/4</t>
  </si>
  <si>
    <t>23 13/16</t>
  </si>
  <si>
    <t>23 7/8</t>
  </si>
  <si>
    <t>23 15/16</t>
  </si>
  <si>
    <t>24</t>
  </si>
  <si>
    <t>24 1/16</t>
  </si>
  <si>
    <t>24 1/8</t>
  </si>
  <si>
    <t>24 3/16</t>
  </si>
  <si>
    <t>24 1/4</t>
  </si>
  <si>
    <t>24 5/16</t>
  </si>
  <si>
    <t>24 3/8</t>
  </si>
  <si>
    <t>24 7/16</t>
  </si>
  <si>
    <t>24 1/2</t>
  </si>
  <si>
    <t>24 9/16</t>
  </si>
  <si>
    <t>24 5/8</t>
  </si>
  <si>
    <t>24 11/16</t>
  </si>
  <si>
    <t>24 3/4</t>
  </si>
  <si>
    <t>24 13/16</t>
  </si>
  <si>
    <t>24 7/8</t>
  </si>
  <si>
    <t>24 15/16</t>
  </si>
  <si>
    <t>25</t>
  </si>
  <si>
    <t>25 1/16</t>
  </si>
  <si>
    <t>25 1/8</t>
  </si>
  <si>
    <t>25 3/16</t>
  </si>
  <si>
    <t>25 1/4</t>
  </si>
  <si>
    <t>25 5/16</t>
  </si>
  <si>
    <t>25 3/8</t>
  </si>
  <si>
    <t>25 7/16</t>
  </si>
  <si>
    <t>25 1/2</t>
  </si>
  <si>
    <t>25 9/16</t>
  </si>
  <si>
    <t>25 5/8</t>
  </si>
  <si>
    <t>25 11/16</t>
  </si>
  <si>
    <t>25 3/4</t>
  </si>
  <si>
    <t>25 13/16</t>
  </si>
  <si>
    <t>25 7/8</t>
  </si>
  <si>
    <t>25 15/16</t>
  </si>
  <si>
    <t>26</t>
  </si>
  <si>
    <t>26 1/16</t>
  </si>
  <si>
    <t>26 1/8</t>
  </si>
  <si>
    <t>26 3/16</t>
  </si>
  <si>
    <t>26 1/4</t>
  </si>
  <si>
    <t>26 5/16</t>
  </si>
  <si>
    <t>26 3/8</t>
  </si>
  <si>
    <t>26 7/16</t>
  </si>
  <si>
    <t>26 1/2</t>
  </si>
  <si>
    <t>26 9/16</t>
  </si>
  <si>
    <t>26 5/8</t>
  </si>
  <si>
    <t>26 11/16</t>
  </si>
  <si>
    <t>26 3/4</t>
  </si>
  <si>
    <t>26 13/16</t>
  </si>
  <si>
    <t>26 7/8</t>
  </si>
  <si>
    <t>26 15/16</t>
  </si>
  <si>
    <t>27</t>
  </si>
  <si>
    <t>27 1/16</t>
  </si>
  <si>
    <t>27 1/8</t>
  </si>
  <si>
    <t>27 3/16</t>
  </si>
  <si>
    <t>27 1/4</t>
  </si>
  <si>
    <t>27 5/16</t>
  </si>
  <si>
    <t>27 3/8</t>
  </si>
  <si>
    <t>27 7/16</t>
  </si>
  <si>
    <t>27 1/2</t>
  </si>
  <si>
    <t>27 9/16</t>
  </si>
  <si>
    <t>27 5/8</t>
  </si>
  <si>
    <t>27 11/16</t>
  </si>
  <si>
    <t>27 3/4</t>
  </si>
  <si>
    <t>27 13/16</t>
  </si>
  <si>
    <t>27 7/8</t>
  </si>
  <si>
    <t>27 15/16</t>
  </si>
  <si>
    <t>28</t>
  </si>
  <si>
    <t>28 1/16</t>
  </si>
  <si>
    <t>28 1/8</t>
  </si>
  <si>
    <t>28 3/16</t>
  </si>
  <si>
    <t>28 1/4</t>
  </si>
  <si>
    <t>28 5/16</t>
  </si>
  <si>
    <t>28 3/8</t>
  </si>
  <si>
    <t>28 7/16</t>
  </si>
  <si>
    <t>28 1/2</t>
  </si>
  <si>
    <t>28 9/16</t>
  </si>
  <si>
    <t>28 5/8</t>
  </si>
  <si>
    <t>28 11/16</t>
  </si>
  <si>
    <t>28 3/4</t>
  </si>
  <si>
    <t>28 13/16</t>
  </si>
  <si>
    <t>28 7/8</t>
  </si>
  <si>
    <t>28 15/16</t>
  </si>
  <si>
    <t>29</t>
  </si>
  <si>
    <t>29 1/16</t>
  </si>
  <si>
    <t>29 1/8</t>
  </si>
  <si>
    <t>29 3/16</t>
  </si>
  <si>
    <t>29 1/4</t>
  </si>
  <si>
    <t>29 5/16</t>
  </si>
  <si>
    <t>29 3/8</t>
  </si>
  <si>
    <t>29 7/16</t>
  </si>
  <si>
    <t>29 1/2</t>
  </si>
  <si>
    <t>29 9/16</t>
  </si>
  <si>
    <t>29 5/8</t>
  </si>
  <si>
    <t>29 11/16</t>
  </si>
  <si>
    <t>29 3/4</t>
  </si>
  <si>
    <t>29 13/16</t>
  </si>
  <si>
    <t>29 7/8</t>
  </si>
  <si>
    <t>29 15/16</t>
  </si>
  <si>
    <t>30</t>
  </si>
  <si>
    <t>30 1/16</t>
  </si>
  <si>
    <t>30 1/8</t>
  </si>
  <si>
    <t>Minimum</t>
  </si>
  <si>
    <t>Maximum</t>
  </si>
  <si>
    <t>Number and Size Description</t>
  </si>
  <si>
    <t>BEAMS:</t>
  </si>
  <si>
    <t>Date:</t>
  </si>
  <si>
    <t>Each</t>
  </si>
  <si>
    <t>County:</t>
  </si>
  <si>
    <t>Section:</t>
  </si>
  <si>
    <t>Route:</t>
  </si>
  <si>
    <t>Job No.:</t>
  </si>
  <si>
    <t>Rd.Dist.:</t>
  </si>
  <si>
    <t>Contract</t>
  </si>
  <si>
    <t>Beams:</t>
  </si>
  <si>
    <t xml:space="preserve">Manufactured by: </t>
  </si>
  <si>
    <t xml:space="preserve">Address: </t>
  </si>
  <si>
    <t xml:space="preserve">Consignee Location: </t>
  </si>
  <si>
    <t xml:space="preserve">Structure No 2: </t>
  </si>
  <si>
    <t xml:space="preserve">Date Shipped: </t>
  </si>
  <si>
    <t xml:space="preserve">Producers Job# / Bed#: </t>
  </si>
  <si>
    <t>Report Numbers:</t>
  </si>
  <si>
    <t>ID Beam Numbers :</t>
  </si>
  <si>
    <t>Remarks:</t>
  </si>
  <si>
    <t>On the basis of our observations and tests, the above beams comply with the specification</t>
  </si>
  <si>
    <t>requirements.  Resident shall inspect beams for damage during transit and erection.</t>
  </si>
  <si>
    <t>Copies to:</t>
  </si>
  <si>
    <t xml:space="preserve">  This material is accepted and stamped Ill.-OK</t>
  </si>
  <si>
    <t>Reviewed By:</t>
  </si>
  <si>
    <t>Beam</t>
  </si>
  <si>
    <t>Contract:</t>
  </si>
  <si>
    <t>Heat/Steam</t>
  </si>
  <si>
    <t>Final</t>
  </si>
  <si>
    <t>Camber</t>
  </si>
  <si>
    <t xml:space="preserve">          </t>
  </si>
  <si>
    <t>Top:</t>
  </si>
  <si>
    <t>Bottom:</t>
  </si>
  <si>
    <t>Inspected by:</t>
  </si>
  <si>
    <t>hh:mm</t>
  </si>
  <si>
    <t>Source</t>
  </si>
  <si>
    <t>Design#</t>
  </si>
  <si>
    <t xml:space="preserve"> Your Design No. (Optional)</t>
  </si>
  <si>
    <t xml:space="preserve"> IDOT Design Number</t>
  </si>
  <si>
    <t>Job No:</t>
  </si>
  <si>
    <t>Bed No.:</t>
  </si>
  <si>
    <t>CODE</t>
  </si>
  <si>
    <t>ITEM</t>
  </si>
  <si>
    <t>QUANTITY</t>
  </si>
  <si>
    <t>P/S</t>
  </si>
  <si>
    <t>NOTES</t>
  </si>
  <si>
    <t>Job</t>
  </si>
  <si>
    <t xml:space="preserve">Max Slump:  </t>
  </si>
  <si>
    <t xml:space="preserve">Max % Air:  </t>
  </si>
  <si>
    <t xml:space="preserve">Min % Air:  </t>
  </si>
  <si>
    <t>III</t>
  </si>
  <si>
    <t xml:space="preserve">Min Strength Cut:  </t>
  </si>
  <si>
    <t xml:space="preserve">Min Strength Ship:  </t>
  </si>
  <si>
    <t xml:space="preserve">Concrete Temp Range:  </t>
  </si>
  <si>
    <t>NOTE: Be Sure to Set Required Specifications</t>
  </si>
  <si>
    <t>[Reports Belows]</t>
  </si>
  <si>
    <t>Pour Sheet 1</t>
  </si>
  <si>
    <t xml:space="preserve">Job#/Bed#: </t>
  </si>
  <si>
    <t xml:space="preserve">  ILLINOIS DEPT. OF TRANSPORTATION</t>
  </si>
  <si>
    <t>Pour Sheet 2</t>
  </si>
  <si>
    <t>Stop Air Temperature:</t>
  </si>
  <si>
    <t xml:space="preserve">  PRESTRESS CONCRETE BEAM POUR</t>
  </si>
  <si>
    <t xml:space="preserve">DATE: </t>
  </si>
  <si>
    <t xml:space="preserve">INSP.:  </t>
  </si>
  <si>
    <t xml:space="preserve">BEAM &gt;&gt;&gt; </t>
  </si>
  <si>
    <t>Pour:</t>
  </si>
  <si>
    <t>Max. Temp</t>
  </si>
  <si>
    <t>County</t>
  </si>
  <si>
    <t>Section</t>
  </si>
  <si>
    <t>Route</t>
  </si>
  <si>
    <t>Job No.</t>
  </si>
  <si>
    <t>Contract No.</t>
  </si>
  <si>
    <t>Assn</t>
  </si>
  <si>
    <t>Shipping Data:</t>
  </si>
  <si>
    <t>From:</t>
  </si>
  <si>
    <t xml:space="preserve">Name  </t>
  </si>
  <si>
    <t>Contract #</t>
  </si>
  <si>
    <t xml:space="preserve">Inspector No.  </t>
  </si>
  <si>
    <t xml:space="preserve">Date Sampled  </t>
  </si>
  <si>
    <t xml:space="preserve">  (IDOT INSPECTOR)</t>
  </si>
  <si>
    <t>Job. No.</t>
  </si>
  <si>
    <t>Matls. Code</t>
  </si>
  <si>
    <t>Test I.D. #</t>
  </si>
  <si>
    <t>Quantity</t>
  </si>
  <si>
    <t xml:space="preserve">        Unit</t>
  </si>
  <si>
    <t>Field No.</t>
  </si>
  <si>
    <t>Prod/Supplier No.</t>
  </si>
  <si>
    <t>Inspect Data</t>
  </si>
  <si>
    <t>Desc. 1</t>
  </si>
  <si>
    <t>Desc. 2</t>
  </si>
  <si>
    <t xml:space="preserve">        PCS</t>
  </si>
  <si>
    <t>Date Assigned</t>
  </si>
  <si>
    <t>Original To:</t>
  </si>
  <si>
    <t>Copies To:</t>
  </si>
  <si>
    <t>NOTE:  This assignment report MUST be signed by state representative before entry into MISTIC.</t>
  </si>
  <si>
    <t>Input Area: SETUP</t>
  </si>
  <si>
    <t>Enter as mm/dd/yy</t>
  </si>
  <si>
    <t>Beam Identification &amp; Description:</t>
  </si>
  <si>
    <t>Contractor</t>
  </si>
  <si>
    <t>Delivery Contact:</t>
  </si>
  <si>
    <t>Street</t>
  </si>
  <si>
    <t>Receiving District/Agency:</t>
  </si>
  <si>
    <t>Number</t>
  </si>
  <si>
    <t>Input area: SOURCE</t>
  </si>
  <si>
    <t>Consignee</t>
  </si>
  <si>
    <t>Consignee Loc</t>
  </si>
  <si>
    <t>Beam Name</t>
  </si>
  <si>
    <t>Manufacturer</t>
  </si>
  <si>
    <t>MISTIC Prod #</t>
  </si>
  <si>
    <t>Inspector</t>
  </si>
  <si>
    <t>L(ft)L(in)xW(in)xH(in)</t>
  </si>
  <si>
    <t>L(m)xW(m)xH(m)</t>
  </si>
  <si>
    <t>ME</t>
  </si>
  <si>
    <t>Originating District/Agency:</t>
  </si>
  <si>
    <t>Comments:</t>
  </si>
  <si>
    <t>English/Metric</t>
  </si>
  <si>
    <t>M</t>
  </si>
  <si>
    <t>Days</t>
  </si>
  <si>
    <t xml:space="preserve">English/Metric (E or M): </t>
  </si>
  <si>
    <t xml:space="preserve">Plans/Drawings#: </t>
  </si>
  <si>
    <t xml:space="preserve">Structure No. #2: </t>
  </si>
  <si>
    <t xml:space="preserve">Beam No's: </t>
  </si>
  <si>
    <t xml:space="preserve">Dates: (Optional): </t>
  </si>
  <si>
    <t xml:space="preserve">Date Thermal Correction: </t>
  </si>
  <si>
    <t>Dimensions</t>
  </si>
  <si>
    <t>Region/District</t>
  </si>
  <si>
    <t>Inspector Name</t>
  </si>
  <si>
    <t>Min %</t>
  </si>
  <si>
    <t>Max %</t>
  </si>
  <si>
    <t xml:space="preserve">           LOAD CELL DATA</t>
  </si>
  <si>
    <t>Load Cell No.</t>
  </si>
  <si>
    <t xml:space="preserve">    Cell Factor lbs./Micro ins.</t>
  </si>
  <si>
    <t xml:space="preserve">    Cell Reading Micro ins.</t>
  </si>
  <si>
    <t xml:space="preserve"> ASSIGNMENT OF MATERIALS</t>
  </si>
  <si>
    <t xml:space="preserve">Scheduled: </t>
  </si>
  <si>
    <t xml:space="preserve">Start: </t>
  </si>
  <si>
    <t xml:space="preserve">Target: </t>
  </si>
  <si>
    <t xml:space="preserve">Complete: </t>
  </si>
  <si>
    <t xml:space="preserve">OK Stamp: </t>
  </si>
  <si>
    <t xml:space="preserve">Shipped: </t>
  </si>
  <si>
    <t xml:space="preserve">Rd.Dist./City: </t>
  </si>
  <si>
    <t xml:space="preserve">Job No. : </t>
  </si>
  <si>
    <t xml:space="preserve">Person: </t>
  </si>
  <si>
    <t xml:space="preserve">Title: </t>
  </si>
  <si>
    <t xml:space="preserve">Street: </t>
  </si>
  <si>
    <t xml:space="preserve">Street2: </t>
  </si>
  <si>
    <t xml:space="preserve">City, St, Zip: </t>
  </si>
  <si>
    <t xml:space="preserve">Phone: </t>
  </si>
  <si>
    <t xml:space="preserve">IDOT MIX DESIGN NUMBER: </t>
  </si>
  <si>
    <t xml:space="preserve">Time: </t>
  </si>
  <si>
    <t xml:space="preserve">Jack No.: </t>
  </si>
  <si>
    <t xml:space="preserve"> Air temp: </t>
  </si>
  <si>
    <t>Test Results</t>
  </si>
  <si>
    <t xml:space="preserve">Signature: </t>
  </si>
  <si>
    <t xml:space="preserve">Inspected by: </t>
  </si>
  <si>
    <t>Type Cement</t>
  </si>
  <si>
    <t>I</t>
  </si>
  <si>
    <t>II</t>
  </si>
  <si>
    <t xml:space="preserve">NUMBER: </t>
  </si>
  <si>
    <t xml:space="preserve">COUNTY: </t>
  </si>
  <si>
    <t xml:space="preserve">BED#: </t>
  </si>
  <si>
    <t xml:space="preserve">REPORT: </t>
  </si>
  <si>
    <t xml:space="preserve">DESIGN: </t>
  </si>
  <si>
    <t xml:space="preserve">BURLAP TIME - hh:mm am: </t>
  </si>
  <si>
    <t xml:space="preserve">STOP TIME - hh:mm am: </t>
  </si>
  <si>
    <t xml:space="preserve">START TIME - hh:mm am: </t>
  </si>
  <si>
    <t xml:space="preserve">AIR TEMP.: </t>
  </si>
  <si>
    <t xml:space="preserve">CONCRETE TEMP.: </t>
  </si>
  <si>
    <t xml:space="preserve">CUYDS PER BEAM: </t>
  </si>
  <si>
    <t xml:space="preserve">MIX CUYD/BATCH: </t>
  </si>
  <si>
    <t xml:space="preserve">FINE AGG.: </t>
  </si>
  <si>
    <t xml:space="preserve">WATER: </t>
  </si>
  <si>
    <t xml:space="preserve">AEA: </t>
  </si>
  <si>
    <t xml:space="preserve">WRDA: </t>
  </si>
  <si>
    <t xml:space="preserve">SUPERPLASTIC.: </t>
  </si>
  <si>
    <t xml:space="preserve">DCI : </t>
  </si>
  <si>
    <t xml:space="preserve">RETARDER : </t>
  </si>
  <si>
    <t xml:space="preserve">Pour Date: </t>
  </si>
  <si>
    <t xml:space="preserve">Stop Temp: </t>
  </si>
  <si>
    <t xml:space="preserve">From: </t>
  </si>
  <si>
    <t xml:space="preserve">To: </t>
  </si>
  <si>
    <t>+ 3%</t>
  </si>
  <si>
    <t>- 3%</t>
  </si>
  <si>
    <t>Mod. El.</t>
  </si>
  <si>
    <t>Dia.</t>
  </si>
  <si>
    <t>*Bottom Row Numbers from Lowest to Highest In Beam</t>
  </si>
  <si>
    <t>**Top Row Numbers from Highest to Lowest In Beam</t>
  </si>
  <si>
    <t>ROW #1T</t>
  </si>
  <si>
    <t>ROW #2T</t>
  </si>
  <si>
    <t>ROW #3T</t>
  </si>
  <si>
    <t>ROW #4T</t>
  </si>
  <si>
    <t>ROW #5T</t>
  </si>
  <si>
    <t>Bottom Rows (Non-Draped)*</t>
  </si>
  <si>
    <t>- 5%</t>
  </si>
  <si>
    <t>+ 5%</t>
  </si>
  <si>
    <t xml:space="preserve">   Straight Strands</t>
  </si>
  <si>
    <t xml:space="preserve">    Draped Strands</t>
  </si>
  <si>
    <t>Total No. of Strands:</t>
  </si>
  <si>
    <t>No. of Straight Strands:</t>
  </si>
  <si>
    <t>No. of Draped Strands:</t>
  </si>
  <si>
    <t>ASSIGNMENT</t>
  </si>
  <si>
    <t>Desc. 3/Remarks</t>
  </si>
  <si>
    <t>P/S No.</t>
  </si>
  <si>
    <t>Attached are copies of the individual BEAM inspection reports with detailed measurements and test results.</t>
  </si>
  <si>
    <r>
      <t>P</t>
    </r>
    <r>
      <rPr>
        <b/>
        <vertAlign val="subscript"/>
        <sz val="10"/>
        <rFont val="Arial"/>
        <family val="2"/>
      </rPr>
      <t>p</t>
    </r>
  </si>
  <si>
    <r>
      <t>0.80 x F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 xml:space="preserve"> x A</t>
    </r>
    <r>
      <rPr>
        <vertAlign val="subscript"/>
        <sz val="10"/>
        <rFont val="Arial"/>
        <family val="2"/>
      </rPr>
      <t>s</t>
    </r>
  </si>
  <si>
    <r>
      <t xml:space="preserve">a correction will be made for 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T &gt; 25° F or 14° C in Thermal Sheet for cold weather.  </t>
    </r>
  </si>
  <si>
    <t xml:space="preserve">Thermal corrections for hot weather are discouraged and should be manually input by </t>
  </si>
  <si>
    <t>temperature lower than concrete temperature.</t>
  </si>
  <si>
    <t>the user in the thermal sheet.  The "Thermal Correction Always" option assumes air</t>
  </si>
  <si>
    <r>
      <t>Air Temperature at Tensioning (T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): 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</si>
  <si>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Air (Strand) temperature at time of tensioning</t>
    </r>
  </si>
  <si>
    <t>Thermal Correction</t>
  </si>
  <si>
    <r>
      <t xml:space="preserve">a correction will be made for 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T &gt; 25° F or 14° C for cold weather.  </t>
    </r>
  </si>
  <si>
    <t>Self-Stressing Beds**</t>
  </si>
  <si>
    <t>Self-Stressing Bed Correction (Group I Loss)</t>
  </si>
  <si>
    <t>Self-Stressing</t>
  </si>
  <si>
    <t>Self-Stressing Beds</t>
  </si>
  <si>
    <t>Self-Stressing Bed Data and Calculations</t>
  </si>
  <si>
    <t>Self-Stressing Beds*</t>
  </si>
  <si>
    <t>*If "No" is chosen for Always? for thermal correction and self-stressing bed option,</t>
  </si>
  <si>
    <t>**If "Yes" is chosen for self-stressing bed option, no thermal correction will be made (thermal</t>
  </si>
  <si>
    <t>*If "Yes" is chosen for self-stressing bed option, no thermal correction will be made (thermal</t>
  </si>
  <si>
    <r>
      <t>**T</t>
    </r>
    <r>
      <rPr>
        <vertAlign val="subscript"/>
        <sz val="10"/>
        <rFont val="Symbol"/>
        <family val="1"/>
      </rPr>
      <t>D</t>
    </r>
    <r>
      <rPr>
        <sz val="10"/>
        <rFont val="Arial"/>
        <family val="2"/>
      </rPr>
      <t xml:space="preserve"> and T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 xml:space="preserve"> assume thermal correction by over-pulling (cold weather).</t>
    </r>
  </si>
  <si>
    <r>
      <t>e</t>
    </r>
    <r>
      <rPr>
        <vertAlign val="subscript"/>
        <sz val="10"/>
        <rFont val="Arial"/>
        <family val="2"/>
      </rPr>
      <t>sb</t>
    </r>
    <r>
      <rPr>
        <sz val="10"/>
        <rFont val="Arial"/>
        <family val="2"/>
      </rPr>
      <t xml:space="preserve"> = Total elongation correction for self-stressing bed per strand</t>
    </r>
  </si>
  <si>
    <r>
      <t>e</t>
    </r>
    <r>
      <rPr>
        <vertAlign val="subscript"/>
        <sz val="10"/>
        <rFont val="Arial"/>
        <family val="2"/>
      </rPr>
      <t>ss</t>
    </r>
    <r>
      <rPr>
        <sz val="10"/>
        <rFont val="Arial"/>
        <family val="2"/>
      </rPr>
      <t xml:space="preserve"> = Loss per strand due bed shortening (self-stressing bed)</t>
    </r>
  </si>
  <si>
    <r>
      <t>P</t>
    </r>
    <r>
      <rPr>
        <vertAlign val="subscript"/>
        <sz val="10"/>
        <rFont val="Arial"/>
        <family val="2"/>
      </rPr>
      <t>sb</t>
    </r>
    <r>
      <rPr>
        <sz val="10"/>
        <rFont val="Arial"/>
        <family val="2"/>
      </rPr>
      <t xml:space="preserve"> = Force correction for self-stressing beds per strand</t>
    </r>
  </si>
  <si>
    <r>
      <t>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2"/>
      </rPr>
      <t xml:space="preserve"> = Total gross corrected elongation per strand</t>
    </r>
  </si>
  <si>
    <r>
      <t>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2"/>
      </rPr>
      <t xml:space="preserve"> = Total net corrected elongation per strand</t>
    </r>
  </si>
  <si>
    <r>
      <t>(P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-P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) L</t>
    </r>
  </si>
  <si>
    <t>CORRECTION FOR SELF-STRESSING BED EFFECTS ON STRAND ELONGATIONS AND LOADS</t>
  </si>
  <si>
    <r>
      <t>F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 xml:space="preserve"> = Minimum specified tensile strength of strand</t>
    </r>
  </si>
  <si>
    <t>Length</t>
  </si>
  <si>
    <t>Ratio</t>
  </si>
  <si>
    <t>Draped /</t>
  </si>
  <si>
    <t>Length Ratio</t>
  </si>
  <si>
    <t>Draped/Str.</t>
  </si>
  <si>
    <t>Straight</t>
  </si>
  <si>
    <t>Draped Strands Too Long?</t>
  </si>
  <si>
    <t>Note: Indicating OK or NG is acceptable for many of the input fields.</t>
  </si>
  <si>
    <t>Specified Cut</t>
  </si>
  <si>
    <t>Specified Ship</t>
  </si>
  <si>
    <t>e = Basic strand elongation without corrections</t>
  </si>
  <si>
    <r>
      <t>e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 xml:space="preserve"> = Elongation correction due to live end seating per strand</t>
    </r>
  </si>
  <si>
    <r>
      <t>e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 Elongation correction due to dead end seating per strand</t>
    </r>
  </si>
  <si>
    <r>
      <t>e</t>
    </r>
    <r>
      <rPr>
        <vertAlign val="subscript"/>
        <sz val="10"/>
        <rFont val="Arial"/>
        <family val="2"/>
      </rPr>
      <t>SP</t>
    </r>
    <r>
      <rPr>
        <sz val="10"/>
        <rFont val="Arial"/>
        <family val="0"/>
      </rPr>
      <t xml:space="preserve"> = Elongation correction due to strand splice per strand</t>
    </r>
  </si>
  <si>
    <r>
      <t>e</t>
    </r>
    <r>
      <rPr>
        <vertAlign val="subscript"/>
        <sz val="10"/>
        <rFont val="Arial"/>
        <family val="2"/>
      </rPr>
      <t>OI</t>
    </r>
    <r>
      <rPr>
        <sz val="10"/>
        <rFont val="Arial"/>
        <family val="0"/>
      </rPr>
      <t xml:space="preserve"> = Elongation correction due to other (Group I) per strand</t>
    </r>
  </si>
  <si>
    <r>
      <t>e</t>
    </r>
    <r>
      <rPr>
        <vertAlign val="subscript"/>
        <sz val="10"/>
        <rFont val="Arial"/>
        <family val="2"/>
      </rPr>
      <t>OII</t>
    </r>
    <r>
      <rPr>
        <sz val="10"/>
        <rFont val="Arial"/>
        <family val="0"/>
      </rPr>
      <t xml:space="preserve"> = Elongation correction due to other (Group II) per strand</t>
    </r>
  </si>
  <si>
    <r>
      <t>e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Total elongation correction for Group I losses per strand</t>
    </r>
  </si>
  <si>
    <r>
      <t>e</t>
    </r>
    <r>
      <rPr>
        <vertAlign val="subscript"/>
        <sz val="10"/>
        <rFont val="Arial"/>
        <family val="2"/>
      </rPr>
      <t>II</t>
    </r>
    <r>
      <rPr>
        <sz val="10"/>
        <rFont val="Arial"/>
        <family val="2"/>
      </rPr>
      <t xml:space="preserve"> = Total elongation correction for Group II losses per strand</t>
    </r>
  </si>
  <si>
    <r>
      <t>P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 Maximum permitted pulling force for a strand (80% F</t>
    </r>
    <r>
      <rPr>
        <vertAlign val="subscript"/>
        <sz val="10"/>
        <rFont val="Arial"/>
        <family val="2"/>
      </rPr>
      <t xml:space="preserve">u </t>
    </r>
    <r>
      <rPr>
        <sz val="10"/>
        <rFont val="Arial"/>
        <family val="2"/>
      </rP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)</t>
    </r>
  </si>
  <si>
    <r>
      <t>P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 Force correction for live end seating per strand</t>
    </r>
  </si>
  <si>
    <r>
      <t>P</t>
    </r>
    <r>
      <rPr>
        <vertAlign val="subscript"/>
        <sz val="10"/>
        <rFont val="Arial"/>
        <family val="2"/>
      </rPr>
      <t>OI</t>
    </r>
    <r>
      <rPr>
        <sz val="10"/>
        <rFont val="Arial"/>
        <family val="2"/>
      </rPr>
      <t xml:space="preserve"> = Force correction due to other (Group I) per strand</t>
    </r>
  </si>
  <si>
    <r>
      <t>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 Total force correction for Group I per strand</t>
    </r>
  </si>
  <si>
    <r>
      <t>e</t>
    </r>
    <r>
      <rPr>
        <vertAlign val="subscript"/>
        <sz val="10"/>
        <rFont val="Arial"/>
        <family val="2"/>
      </rPr>
      <t>ps</t>
    </r>
    <r>
      <rPr>
        <sz val="10"/>
        <rFont val="Arial"/>
        <family val="2"/>
      </rPr>
      <t xml:space="preserve"> = Loss per strand due to anchorage movement</t>
    </r>
  </si>
  <si>
    <r>
      <t>T = Change in temperature (T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</t>
    </r>
  </si>
  <si>
    <t>cum/bm</t>
  </si>
  <si>
    <t>cum/btch</t>
  </si>
  <si>
    <t>ml</t>
  </si>
  <si>
    <t>ml/cum</t>
  </si>
  <si>
    <t>liters</t>
  </si>
  <si>
    <t>liters/cum</t>
  </si>
  <si>
    <t>N</t>
  </si>
  <si>
    <t>N/cum</t>
  </si>
  <si>
    <t>mm</t>
  </si>
  <si>
    <t>Pa</t>
  </si>
  <si>
    <t>kPa</t>
  </si>
  <si>
    <t>AIR:</t>
  </si>
  <si>
    <t>SLUMP:</t>
  </si>
  <si>
    <t>STRENGTH (Reported)</t>
  </si>
  <si>
    <t>Length Inches or mm</t>
  </si>
  <si>
    <t xml:space="preserve">         Gross Range of Permitted Elongations (Fractional for English Units)</t>
  </si>
  <si>
    <t xml:space="preserve"> Net Range of Permitted Elongations (Fractional for English Units)</t>
  </si>
  <si>
    <t>Setup Beam Area</t>
  </si>
  <si>
    <t>**Input in Yellow Areas Only**  **Warning: Some Lookup Fields in Light Blue are Unprotected**</t>
  </si>
  <si>
    <r>
      <t>Negative values for T</t>
    </r>
    <r>
      <rPr>
        <vertAlign val="subscript"/>
        <sz val="10"/>
        <rFont val="Symbol"/>
        <family val="1"/>
      </rPr>
      <t>D</t>
    </r>
    <r>
      <rPr>
        <sz val="10"/>
        <rFont val="Arial"/>
        <family val="2"/>
      </rPr>
      <t xml:space="preserve"> indicate maximum permitted load already exceeded.</t>
    </r>
  </si>
  <si>
    <r>
      <t>Positive values for T</t>
    </r>
    <r>
      <rPr>
        <vertAlign val="subscript"/>
        <sz val="10"/>
        <rFont val="Symbol"/>
        <family val="1"/>
      </rPr>
      <t>D</t>
    </r>
    <r>
      <rPr>
        <sz val="10"/>
        <rFont val="Arial"/>
        <family val="2"/>
      </rPr>
      <t xml:space="preserve"> may occur even if maximum permitted load is exceeded.</t>
    </r>
  </si>
  <si>
    <t>**Input Permitted in Yellow Areas and Many Non-Yellow Areas**  **Warning: Many Lookup Fields are Unprotected**</t>
  </si>
  <si>
    <t>**Input in Yellow Areas Only**</t>
  </si>
  <si>
    <t>Report Below</t>
  </si>
  <si>
    <t>Report of Inspection of Precast Prestressed Concrete</t>
  </si>
  <si>
    <t>PCC Mix Design</t>
  </si>
  <si>
    <t>PRODUCERS AND SUPPLIERS OF NON-MIX COMPONENTS</t>
  </si>
  <si>
    <t>P/S Loc</t>
  </si>
  <si>
    <t xml:space="preserve">   DATE  mm/dd/yy: </t>
  </si>
  <si>
    <t xml:space="preserve">REMARKS: </t>
  </si>
  <si>
    <t xml:space="preserve">   AGE: </t>
  </si>
  <si>
    <t xml:space="preserve">Dimensions: </t>
  </si>
  <si>
    <t>Repot Below</t>
  </si>
  <si>
    <t>27602</t>
  </si>
  <si>
    <t>27602M</t>
  </si>
  <si>
    <t>27702</t>
  </si>
  <si>
    <t>27702M</t>
  </si>
  <si>
    <t>27801</t>
  </si>
  <si>
    <t>27801M</t>
  </si>
  <si>
    <t>27803</t>
  </si>
  <si>
    <t>27803M</t>
  </si>
  <si>
    <t>oz/cwt</t>
  </si>
  <si>
    <t>lbs</t>
  </si>
  <si>
    <t>in.</t>
  </si>
  <si>
    <t>psi</t>
  </si>
  <si>
    <t>day</t>
  </si>
  <si>
    <t>hr.</t>
  </si>
  <si>
    <t>gal</t>
  </si>
  <si>
    <t>cuyd/bm</t>
  </si>
  <si>
    <t>cuyd/btch</t>
  </si>
  <si>
    <t>oz/cuyd</t>
  </si>
  <si>
    <t>gal/cuyd</t>
  </si>
  <si>
    <t>lbs/cuyd</t>
  </si>
  <si>
    <t xml:space="preserve">CEMENT: </t>
  </si>
  <si>
    <t>Pour Data 1</t>
  </si>
  <si>
    <t>Pour Data2</t>
  </si>
  <si>
    <t>Remarks</t>
  </si>
  <si>
    <t>Pour Data 2</t>
  </si>
  <si>
    <t xml:space="preserve">FLY ASH: </t>
  </si>
  <si>
    <t xml:space="preserve">COURSE AGG. 1: </t>
  </si>
  <si>
    <t xml:space="preserve">COURSE AGG. 2: </t>
  </si>
  <si>
    <t>WATER</t>
  </si>
  <si>
    <t>Pour 1</t>
  </si>
  <si>
    <t>Specified Max Slump</t>
  </si>
  <si>
    <t>Spec. Conc. Temp Range</t>
  </si>
  <si>
    <t>Specified Max Air</t>
  </si>
  <si>
    <t>Specified Min Air</t>
  </si>
  <si>
    <t>Cure Type</t>
  </si>
  <si>
    <t>(Permitted - Internal Cure)</t>
  </si>
  <si>
    <t>Cure Type:</t>
  </si>
  <si>
    <t>Spec. Max. Internal Temp</t>
  </si>
  <si>
    <t>(Cut Date)</t>
  </si>
  <si>
    <t>(Ship Date)</t>
  </si>
  <si>
    <t>Pour 2</t>
  </si>
  <si>
    <t>Moist Cure</t>
  </si>
  <si>
    <t>Time of Day</t>
  </si>
  <si>
    <t>Date</t>
  </si>
  <si>
    <t>Depths</t>
  </si>
  <si>
    <r>
      <t>(P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- (P</t>
    </r>
    <r>
      <rPr>
        <vertAlign val="subscript"/>
        <sz val="10"/>
        <rFont val="Arial"/>
        <family val="2"/>
      </rPr>
      <t xml:space="preserve">i+T </t>
    </r>
    <r>
      <rPr>
        <sz val="10"/>
        <rFont val="Arial"/>
        <family val="2"/>
      </rPr>
      <t>- P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)) / (a x E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x 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) </t>
    </r>
  </si>
  <si>
    <t xml:space="preserve">temperature sheet only.)  Live end seating is not </t>
  </si>
  <si>
    <t xml:space="preserve">considered in this determination since it is not present </t>
  </si>
  <si>
    <t>after tensioning operations are completed.</t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</si>
  <si>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- T</t>
    </r>
    <r>
      <rPr>
        <vertAlign val="subscript"/>
        <sz val="10"/>
        <rFont val="Symbol"/>
        <family val="1"/>
      </rPr>
      <t>D</t>
    </r>
  </si>
  <si>
    <t>Overall</t>
  </si>
  <si>
    <t>Sweep</t>
  </si>
  <si>
    <t>Stirrup Bars</t>
  </si>
  <si>
    <t>Longitudinal</t>
  </si>
  <si>
    <t>Spacing</t>
  </si>
  <si>
    <t>Vertical</t>
  </si>
  <si>
    <t>Alignment</t>
  </si>
  <si>
    <t>Beam Seat</t>
  </si>
  <si>
    <t>Area</t>
  </si>
  <si>
    <t>End Squareness or Skew</t>
  </si>
  <si>
    <t>Elevation</t>
  </si>
  <si>
    <t>Plan</t>
  </si>
  <si>
    <t xml:space="preserve">      Strand Position</t>
  </si>
  <si>
    <t>Other Loc.</t>
  </si>
  <si>
    <t>Pts. of Sup.</t>
  </si>
  <si>
    <t>From End</t>
  </si>
  <si>
    <t>of Beam</t>
  </si>
  <si>
    <t>From Side</t>
  </si>
  <si>
    <t>Projection</t>
  </si>
  <si>
    <t>Above Bm.</t>
  </si>
  <si>
    <t>Ebmed-</t>
  </si>
  <si>
    <t>ment</t>
  </si>
  <si>
    <t xml:space="preserve">          Lifting Loops</t>
  </si>
  <si>
    <t>Plans</t>
  </si>
  <si>
    <t xml:space="preserve">            Inserts</t>
  </si>
  <si>
    <t>Flanges</t>
  </si>
  <si>
    <t>Web</t>
  </si>
  <si>
    <t xml:space="preserve">             Widths</t>
  </si>
  <si>
    <t>Splitting</t>
  </si>
  <si>
    <t>Plate</t>
  </si>
  <si>
    <t>Bear. Plate/</t>
  </si>
  <si>
    <t xml:space="preserve">    Permanent Bracing</t>
  </si>
  <si>
    <t>Hold Down</t>
  </si>
  <si>
    <t>Devices</t>
  </si>
  <si>
    <t>Horiz. Align.</t>
  </si>
  <si>
    <t>36601</t>
  </si>
  <si>
    <t>36601M</t>
  </si>
  <si>
    <t>36602</t>
  </si>
  <si>
    <t>36602M</t>
  </si>
  <si>
    <t>Prest Conc I-Beam</t>
  </si>
  <si>
    <t>Prest Bulb T Beam</t>
  </si>
  <si>
    <t>Prest Solid Profile Beam</t>
  </si>
  <si>
    <t>Prest Deck Plank</t>
  </si>
  <si>
    <t>Prest Retaining Wall</t>
  </si>
  <si>
    <t>Precast Piling</t>
  </si>
  <si>
    <t>Prest Prec Piling</t>
  </si>
  <si>
    <t>LinFt</t>
  </si>
  <si>
    <t>L(ft)L(in)xH(in)</t>
  </si>
  <si>
    <t>L(M)xH(mm)</t>
  </si>
  <si>
    <t>L(ft)L(in)xW(in)xT(in)</t>
  </si>
  <si>
    <t>L(m)xW(mm)xT(mm)</t>
  </si>
  <si>
    <t>L(ft)L(in)xW(in)</t>
  </si>
  <si>
    <t>L(m)xW(mm)</t>
  </si>
  <si>
    <t xml:space="preserve">e = </t>
  </si>
  <si>
    <t>Data Area</t>
  </si>
  <si>
    <t>Live End</t>
  </si>
  <si>
    <t>Project:</t>
  </si>
  <si>
    <t xml:space="preserve">Bed/Pour Report: </t>
  </si>
  <si>
    <t xml:space="preserve">Beam Job No.: </t>
  </si>
  <si>
    <t xml:space="preserve">Beam Name: </t>
  </si>
  <si>
    <t xml:space="preserve">Manufacturer: </t>
  </si>
  <si>
    <t>Location</t>
  </si>
  <si>
    <t>Location 2</t>
  </si>
  <si>
    <t>Phone</t>
  </si>
  <si>
    <r>
      <t>Total No. of Strands (N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)</t>
    </r>
  </si>
  <si>
    <r>
      <t>No. of Draped Strands (N</t>
    </r>
    <r>
      <rPr>
        <vertAlign val="subscript"/>
        <sz val="10"/>
        <rFont val="Arial"/>
        <family val="2"/>
      </rPr>
      <t>d)</t>
    </r>
  </si>
  <si>
    <t>correction is overriden.)</t>
  </si>
  <si>
    <t>Size/Quantity</t>
  </si>
  <si>
    <t>Other Materials As Required</t>
  </si>
  <si>
    <t>oz</t>
  </si>
  <si>
    <t xml:space="preserve">Structure No.: </t>
  </si>
  <si>
    <t xml:space="preserve">Inspector: </t>
  </si>
  <si>
    <t xml:space="preserve">Draped Strands: </t>
  </si>
  <si>
    <t>Unit</t>
  </si>
  <si>
    <t xml:space="preserve">Total: </t>
  </si>
  <si>
    <t xml:space="preserve">Consignee: </t>
  </si>
  <si>
    <t xml:space="preserve">Project: </t>
  </si>
  <si>
    <t>Input</t>
  </si>
  <si>
    <t>mm/dd/yy</t>
  </si>
  <si>
    <t xml:space="preserve">Contract: </t>
  </si>
  <si>
    <t xml:space="preserve">Route: </t>
  </si>
  <si>
    <t xml:space="preserve">Section: </t>
  </si>
  <si>
    <t xml:space="preserve">County: </t>
  </si>
  <si>
    <t xml:space="preserve">Job No.: </t>
  </si>
  <si>
    <t xml:space="preserve">Rd. Dist./City: </t>
  </si>
  <si>
    <t xml:space="preserve">Contractor: </t>
  </si>
  <si>
    <t>Local Agency/Resident</t>
  </si>
  <si>
    <t xml:space="preserve">Beam Code No.: </t>
  </si>
  <si>
    <t>QC Manager</t>
  </si>
  <si>
    <t>District</t>
  </si>
  <si>
    <t>Name</t>
  </si>
  <si>
    <t>Division</t>
  </si>
  <si>
    <t>Location 1</t>
  </si>
  <si>
    <t>City, State, Zip</t>
  </si>
  <si>
    <t>Contact</t>
  </si>
  <si>
    <t>Contact Phone</t>
  </si>
  <si>
    <t>Producers</t>
  </si>
  <si>
    <t>Bed Information</t>
  </si>
  <si>
    <r>
      <t>Preload (P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): </t>
    </r>
  </si>
  <si>
    <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E</t>
    </r>
    <r>
      <rPr>
        <vertAlign val="subscript"/>
        <sz val="10"/>
        <rFont val="Arial"/>
        <family val="2"/>
      </rPr>
      <t>s</t>
    </r>
  </si>
  <si>
    <t xml:space="preserve">Strand Elongation Error: </t>
  </si>
  <si>
    <t>Yes</t>
  </si>
  <si>
    <t>No</t>
  </si>
  <si>
    <t>Draped</t>
  </si>
  <si>
    <t>Strands?</t>
  </si>
  <si>
    <t>Anchorage</t>
  </si>
  <si>
    <t>Movement</t>
  </si>
  <si>
    <t>Correction</t>
  </si>
  <si>
    <t>Total Anchorage</t>
  </si>
  <si>
    <t>Anchorage Movement Correction (Group I Loss)</t>
  </si>
  <si>
    <t>Correction Per</t>
  </si>
  <si>
    <t xml:space="preserve">Force </t>
  </si>
  <si>
    <t>Always?</t>
  </si>
  <si>
    <t>Expected</t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</si>
  <si>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- 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</si>
  <si>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t>Anch. Movement</t>
  </si>
  <si>
    <t>Thermal Correction*</t>
  </si>
  <si>
    <t xml:space="preserve">Strand Manufacturer: </t>
  </si>
  <si>
    <t>Bed Length (Strand Length</t>
  </si>
  <si>
    <t>Group I Losses</t>
  </si>
  <si>
    <t>Group II Losses</t>
  </si>
  <si>
    <t>Anchorage Movement</t>
  </si>
  <si>
    <r>
      <t>Movement (M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)</t>
    </r>
  </si>
  <si>
    <t>Correction per</t>
  </si>
  <si>
    <t>Loss Per Strand</t>
  </si>
  <si>
    <t>Total Elongation</t>
  </si>
  <si>
    <r>
      <t>A</t>
    </r>
    <r>
      <rPr>
        <b/>
        <vertAlign val="subscript"/>
        <sz val="10"/>
        <rFont val="Arial"/>
        <family val="2"/>
      </rPr>
      <t>s</t>
    </r>
  </si>
  <si>
    <r>
      <t>E</t>
    </r>
    <r>
      <rPr>
        <b/>
        <vertAlign val="subscript"/>
        <sz val="10"/>
        <rFont val="Arial"/>
        <family val="2"/>
      </rPr>
      <t>s</t>
    </r>
  </si>
  <si>
    <r>
      <t>F</t>
    </r>
    <r>
      <rPr>
        <b/>
        <vertAlign val="subscript"/>
        <sz val="10"/>
        <rFont val="Arial"/>
        <family val="2"/>
      </rPr>
      <t>u</t>
    </r>
  </si>
  <si>
    <t>per Strand</t>
  </si>
  <si>
    <r>
      <t>e</t>
    </r>
    <r>
      <rPr>
        <b/>
        <vertAlign val="subscript"/>
        <sz val="10"/>
        <rFont val="Arial"/>
        <family val="2"/>
      </rPr>
      <t>am</t>
    </r>
  </si>
  <si>
    <r>
      <t>P</t>
    </r>
    <r>
      <rPr>
        <b/>
        <vertAlign val="subscript"/>
        <sz val="10"/>
        <rFont val="Arial"/>
        <family val="2"/>
      </rPr>
      <t>am</t>
    </r>
  </si>
  <si>
    <t>Force</t>
  </si>
  <si>
    <r>
      <t>M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/ N</t>
    </r>
    <r>
      <rPr>
        <vertAlign val="subscript"/>
        <sz val="10"/>
        <rFont val="Arial"/>
        <family val="2"/>
      </rPr>
      <t>s</t>
    </r>
  </si>
  <si>
    <r>
      <t>e</t>
    </r>
    <r>
      <rPr>
        <vertAlign val="subscript"/>
        <sz val="10"/>
        <rFont val="Arial"/>
        <family val="2"/>
      </rPr>
      <t>ps</t>
    </r>
    <r>
      <rPr>
        <sz val="10"/>
        <rFont val="Arial"/>
        <family val="2"/>
      </rPr>
      <t xml:space="preserve"> = </t>
    </r>
  </si>
  <si>
    <r>
      <t>e</t>
    </r>
    <r>
      <rPr>
        <vertAlign val="subscript"/>
        <sz val="10"/>
        <rFont val="Arial"/>
        <family val="2"/>
      </rPr>
      <t>am</t>
    </r>
    <r>
      <rPr>
        <sz val="10"/>
        <rFont val="Arial"/>
        <family val="2"/>
      </rPr>
      <t xml:space="preserve"> = </t>
    </r>
  </si>
  <si>
    <r>
      <t>M</t>
    </r>
    <r>
      <rPr>
        <vertAlign val="subscript"/>
        <sz val="10"/>
        <rFont val="Arial"/>
        <family val="2"/>
      </rPr>
      <t xml:space="preserve">T </t>
    </r>
    <r>
      <rPr>
        <sz val="10"/>
        <rFont val="Arial"/>
        <family val="2"/>
      </rPr>
      <t>/ 2 + e</t>
    </r>
    <r>
      <rPr>
        <vertAlign val="subscript"/>
        <sz val="10"/>
        <rFont val="Arial"/>
        <family val="2"/>
      </rPr>
      <t>ps</t>
    </r>
  </si>
  <si>
    <r>
      <t>P</t>
    </r>
    <r>
      <rPr>
        <vertAlign val="subscript"/>
        <sz val="10"/>
        <rFont val="Arial"/>
        <family val="2"/>
      </rPr>
      <t>am</t>
    </r>
    <r>
      <rPr>
        <sz val="10"/>
        <rFont val="Arial"/>
        <family val="2"/>
      </rPr>
      <t xml:space="preserve"> =</t>
    </r>
  </si>
  <si>
    <r>
      <t>E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e</t>
    </r>
    <r>
      <rPr>
        <vertAlign val="subscript"/>
        <sz val="10"/>
        <rFont val="Arial"/>
        <family val="2"/>
      </rPr>
      <t>am</t>
    </r>
    <r>
      <rPr>
        <sz val="10"/>
        <rFont val="Arial"/>
        <family val="2"/>
      </rPr>
      <t xml:space="preserve"> 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/ L</t>
    </r>
  </si>
  <si>
    <r>
      <t>e</t>
    </r>
    <r>
      <rPr>
        <vertAlign val="subscript"/>
        <sz val="10"/>
        <rFont val="Arial"/>
        <family val="2"/>
      </rPr>
      <t>am</t>
    </r>
    <r>
      <rPr>
        <sz val="10"/>
        <rFont val="Arial"/>
        <family val="2"/>
      </rPr>
      <t xml:space="preserve"> = Total elongation correction for anchorage movement per strand</t>
    </r>
  </si>
  <si>
    <r>
      <t>N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 Total number of strands</t>
    </r>
  </si>
  <si>
    <r>
      <t>M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 Total anchorage movement</t>
    </r>
  </si>
  <si>
    <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 Cross sectional area of strand</t>
    </r>
  </si>
  <si>
    <r>
      <t>E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 Modulus of elasticity of strand</t>
    </r>
  </si>
  <si>
    <t>L = Bed length (strand length between anchors)</t>
  </si>
  <si>
    <t>Bed</t>
  </si>
  <si>
    <r>
      <t>Shortening (S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)</t>
    </r>
  </si>
  <si>
    <r>
      <t>S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 Total bed shortening</t>
    </r>
  </si>
  <si>
    <r>
      <t>S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/ N</t>
    </r>
    <r>
      <rPr>
        <vertAlign val="subscript"/>
        <sz val="10"/>
        <rFont val="Arial"/>
        <family val="2"/>
      </rPr>
      <t>s</t>
    </r>
  </si>
  <si>
    <r>
      <t>e</t>
    </r>
    <r>
      <rPr>
        <vertAlign val="subscript"/>
        <sz val="10"/>
        <rFont val="Arial"/>
        <family val="2"/>
      </rPr>
      <t>ss</t>
    </r>
    <r>
      <rPr>
        <sz val="10"/>
        <rFont val="Arial"/>
        <family val="2"/>
      </rPr>
      <t xml:space="preserve"> = </t>
    </r>
  </si>
  <si>
    <r>
      <t>S</t>
    </r>
    <r>
      <rPr>
        <vertAlign val="subscript"/>
        <sz val="10"/>
        <rFont val="Arial"/>
        <family val="2"/>
      </rPr>
      <t xml:space="preserve">B </t>
    </r>
    <r>
      <rPr>
        <sz val="10"/>
        <rFont val="Arial"/>
        <family val="2"/>
      </rPr>
      <t>/ 2 + e</t>
    </r>
    <r>
      <rPr>
        <vertAlign val="subscript"/>
        <sz val="10"/>
        <rFont val="Arial"/>
        <family val="2"/>
      </rPr>
      <t>ss</t>
    </r>
  </si>
  <si>
    <r>
      <t>P</t>
    </r>
    <r>
      <rPr>
        <vertAlign val="subscript"/>
        <sz val="10"/>
        <rFont val="Arial"/>
        <family val="2"/>
      </rPr>
      <t>sb</t>
    </r>
    <r>
      <rPr>
        <sz val="10"/>
        <rFont val="Arial"/>
        <family val="2"/>
      </rPr>
      <t xml:space="preserve"> =</t>
    </r>
  </si>
  <si>
    <r>
      <t>E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e</t>
    </r>
    <r>
      <rPr>
        <vertAlign val="subscript"/>
        <sz val="10"/>
        <rFont val="Arial"/>
        <family val="2"/>
      </rPr>
      <t>sb</t>
    </r>
    <r>
      <rPr>
        <sz val="10"/>
        <rFont val="Arial"/>
        <family val="2"/>
      </rPr>
      <t xml:space="preserve"> 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/ L</t>
    </r>
  </si>
  <si>
    <r>
      <t>e</t>
    </r>
    <r>
      <rPr>
        <vertAlign val="subscript"/>
        <sz val="10"/>
        <rFont val="Arial"/>
        <family val="2"/>
      </rPr>
      <t>sb</t>
    </r>
    <r>
      <rPr>
        <sz val="10"/>
        <rFont val="Arial"/>
        <family val="2"/>
      </rPr>
      <t xml:space="preserve"> = </t>
    </r>
  </si>
  <si>
    <t xml:space="preserve">Tot. Elong. </t>
  </si>
  <si>
    <t>Tot. Elong.</t>
  </si>
  <si>
    <r>
      <t>Est. Temperature-Concrete when Placed (T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): </t>
    </r>
  </si>
  <si>
    <r>
      <t>N</t>
    </r>
    <r>
      <rPr>
        <vertAlign val="subscript"/>
        <sz val="10"/>
        <rFont val="Arial"/>
        <family val="2"/>
      </rPr>
      <t xml:space="preserve">s </t>
    </r>
    <r>
      <rPr>
        <sz val="10"/>
        <rFont val="Arial"/>
        <family val="2"/>
      </rPr>
      <t>=</t>
    </r>
  </si>
  <si>
    <r>
      <t>M</t>
    </r>
    <r>
      <rPr>
        <vertAlign val="subscript"/>
        <sz val="10"/>
        <rFont val="Arial"/>
        <family val="2"/>
      </rPr>
      <t xml:space="preserve">T </t>
    </r>
    <r>
      <rPr>
        <sz val="10"/>
        <rFont val="Arial"/>
        <family val="2"/>
      </rPr>
      <t>=</t>
    </r>
  </si>
  <si>
    <t>L =</t>
  </si>
  <si>
    <r>
      <t>S</t>
    </r>
    <r>
      <rPr>
        <vertAlign val="subscript"/>
        <sz val="10"/>
        <rFont val="Arial"/>
        <family val="2"/>
      </rPr>
      <t xml:space="preserve">B </t>
    </r>
    <r>
      <rPr>
        <sz val="10"/>
        <rFont val="Arial"/>
        <family val="2"/>
      </rPr>
      <t>=</t>
    </r>
  </si>
  <si>
    <r>
      <t>Design Plan Load (P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): </t>
    </r>
  </si>
  <si>
    <t>Between Anchors) (L)</t>
  </si>
  <si>
    <r>
      <t>Seating (e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)</t>
    </r>
  </si>
  <si>
    <r>
      <t>Other (e</t>
    </r>
    <r>
      <rPr>
        <vertAlign val="subscript"/>
        <sz val="10"/>
        <rFont val="Arial"/>
        <family val="2"/>
      </rPr>
      <t>OI</t>
    </r>
    <r>
      <rPr>
        <sz val="10"/>
        <rFont val="Arial"/>
        <family val="0"/>
      </rPr>
      <t>)</t>
    </r>
  </si>
  <si>
    <r>
      <t>Seating (e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)</t>
    </r>
  </si>
  <si>
    <r>
      <t>Str. Splices(e</t>
    </r>
    <r>
      <rPr>
        <vertAlign val="subscript"/>
        <sz val="10"/>
        <rFont val="Arial"/>
        <family val="2"/>
      </rPr>
      <t>SP</t>
    </r>
    <r>
      <rPr>
        <sz val="10"/>
        <rFont val="Arial"/>
        <family val="2"/>
      </rPr>
      <t xml:space="preserve">): </t>
    </r>
  </si>
  <si>
    <r>
      <t>Other (e</t>
    </r>
    <r>
      <rPr>
        <vertAlign val="subscript"/>
        <sz val="10"/>
        <rFont val="Arial"/>
        <family val="2"/>
      </rPr>
      <t>OII</t>
    </r>
    <r>
      <rPr>
        <sz val="10"/>
        <rFont val="Arial"/>
        <family val="2"/>
      </rPr>
      <t xml:space="preserve">): </t>
    </r>
  </si>
  <si>
    <r>
      <t>e</t>
    </r>
    <r>
      <rPr>
        <b/>
        <vertAlign val="subscript"/>
        <sz val="10"/>
        <rFont val="Arial"/>
        <family val="2"/>
      </rPr>
      <t>sb</t>
    </r>
  </si>
  <si>
    <r>
      <t>P</t>
    </r>
    <r>
      <rPr>
        <b/>
        <vertAlign val="subscript"/>
        <sz val="10"/>
        <rFont val="Arial"/>
        <family val="2"/>
      </rPr>
      <t>sb</t>
    </r>
  </si>
  <si>
    <t>a = Coefficient of expansion for steel</t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</si>
  <si>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Estimated temperature of concrete at placement</t>
    </r>
  </si>
  <si>
    <r>
      <t>a x L</t>
    </r>
    <r>
      <rPr>
        <sz val="10"/>
        <rFont val="Arial"/>
        <family val="2"/>
      </rPr>
      <t xml:space="preserve"> x T</t>
    </r>
  </si>
  <si>
    <r>
      <t>e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 Elongation correction due to temperature per strand</t>
    </r>
  </si>
  <si>
    <t xml:space="preserve"> Loss per Strand</t>
  </si>
  <si>
    <t>Per Strand</t>
  </si>
  <si>
    <r>
      <t>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</t>
    </r>
  </si>
  <si>
    <r>
      <t>E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e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/ L</t>
    </r>
  </si>
  <si>
    <t>Elongation</t>
  </si>
  <si>
    <r>
      <t>e</t>
    </r>
    <r>
      <rPr>
        <b/>
        <vertAlign val="subscript"/>
        <sz val="10"/>
        <rFont val="Arial"/>
        <family val="2"/>
      </rPr>
      <t>t</t>
    </r>
  </si>
  <si>
    <r>
      <t>P</t>
    </r>
    <r>
      <rPr>
        <b/>
        <vertAlign val="subscript"/>
        <sz val="10"/>
        <rFont val="Arial"/>
        <family val="2"/>
      </rPr>
      <t>t</t>
    </r>
  </si>
  <si>
    <r>
      <t>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Design plan load</t>
    </r>
  </si>
  <si>
    <r>
      <t>If the correction to be applied exceeds 5% of the Design Plan Load (P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), the tensioning operation shall be deferred until a more favorable ambient temperature prevails</t>
    </r>
  </si>
  <si>
    <r>
      <t>(P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/ 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)</t>
    </r>
  </si>
  <si>
    <t>OK?</t>
  </si>
  <si>
    <r>
      <t>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</t>
    </r>
  </si>
  <si>
    <t>Theor</t>
  </si>
  <si>
    <t>Always</t>
  </si>
  <si>
    <t>&gt; 25</t>
  </si>
  <si>
    <t>English Metric stuff</t>
  </si>
  <si>
    <r>
      <t>e</t>
    </r>
    <r>
      <rPr>
        <vertAlign val="subscript"/>
        <sz val="9"/>
        <rFont val="Arial"/>
        <family val="2"/>
      </rPr>
      <t xml:space="preserve">t </t>
    </r>
    <r>
      <rPr>
        <sz val="9"/>
        <rFont val="Arial"/>
        <family val="2"/>
      </rPr>
      <t xml:space="preserve">=  </t>
    </r>
  </si>
  <si>
    <r>
      <t>T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= </t>
    </r>
  </si>
  <si>
    <r>
      <t>T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= </t>
    </r>
  </si>
  <si>
    <t>CORRECTION FOR THERMAL EFFECTS ON STRAND ELONGATIONS AND LOADS</t>
  </si>
  <si>
    <t>CORRECTION FOR ANCHORAGE MOVEMENT EFFECTS ON STRAND ELONGATIONS AND LOADS</t>
  </si>
  <si>
    <t>Thermal Data and Calculations</t>
  </si>
  <si>
    <t>Anchorage Movement Data and Calculations</t>
  </si>
  <si>
    <r>
      <t>P</t>
    </r>
    <r>
      <rPr>
        <vertAlign val="subscript"/>
        <sz val="10"/>
        <rFont val="Arial"/>
        <family val="2"/>
      </rPr>
      <t xml:space="preserve">am </t>
    </r>
    <r>
      <rPr>
        <sz val="10"/>
        <rFont val="Arial"/>
        <family val="2"/>
      </rPr>
      <t xml:space="preserve">= Force correction for anchorage movement per strand </t>
    </r>
  </si>
  <si>
    <r>
      <t>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 Force correction for thermal per strand</t>
    </r>
  </si>
  <si>
    <r>
      <t>Other (P</t>
    </r>
    <r>
      <rPr>
        <vertAlign val="subscript"/>
        <sz val="10"/>
        <rFont val="Arial"/>
        <family val="2"/>
      </rPr>
      <t>OI</t>
    </r>
    <r>
      <rPr>
        <sz val="10"/>
        <rFont val="Arial"/>
        <family val="2"/>
      </rPr>
      <t>)</t>
    </r>
  </si>
  <si>
    <r>
      <t>P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= Preload</t>
    </r>
  </si>
  <si>
    <t>Basic Elongation Data and Calculations</t>
  </si>
  <si>
    <t xml:space="preserve">Basic </t>
  </si>
  <si>
    <t xml:space="preserve">Design </t>
  </si>
  <si>
    <r>
      <t>P</t>
    </r>
    <r>
      <rPr>
        <b/>
        <vertAlign val="subscript"/>
        <sz val="10"/>
        <rFont val="Arial"/>
        <family val="2"/>
      </rPr>
      <t>i</t>
    </r>
  </si>
  <si>
    <t>Preload</t>
  </si>
  <si>
    <r>
      <t>e</t>
    </r>
    <r>
      <rPr>
        <b/>
        <vertAlign val="subscript"/>
        <sz val="10"/>
        <rFont val="Arial"/>
        <family val="2"/>
      </rPr>
      <t>L</t>
    </r>
  </si>
  <si>
    <r>
      <t>e</t>
    </r>
    <r>
      <rPr>
        <b/>
        <vertAlign val="subscript"/>
        <sz val="10"/>
        <rFont val="Arial"/>
        <family val="2"/>
      </rPr>
      <t>OI</t>
    </r>
  </si>
  <si>
    <r>
      <t>e</t>
    </r>
    <r>
      <rPr>
        <b/>
        <vertAlign val="subscript"/>
        <sz val="10"/>
        <rFont val="Arial"/>
        <family val="2"/>
      </rPr>
      <t>I</t>
    </r>
  </si>
  <si>
    <r>
      <t>e</t>
    </r>
    <r>
      <rPr>
        <b/>
        <vertAlign val="subscript"/>
        <sz val="10"/>
        <rFont val="Arial"/>
        <family val="2"/>
      </rPr>
      <t>D</t>
    </r>
  </si>
  <si>
    <r>
      <t>e</t>
    </r>
    <r>
      <rPr>
        <b/>
        <vertAlign val="subscript"/>
        <sz val="10"/>
        <rFont val="Arial"/>
        <family val="2"/>
      </rPr>
      <t>SP</t>
    </r>
  </si>
  <si>
    <r>
      <t>e</t>
    </r>
    <r>
      <rPr>
        <b/>
        <vertAlign val="subscript"/>
        <sz val="10"/>
        <rFont val="Arial"/>
        <family val="2"/>
      </rPr>
      <t>OII</t>
    </r>
  </si>
  <si>
    <r>
      <t>e</t>
    </r>
    <r>
      <rPr>
        <b/>
        <vertAlign val="subscript"/>
        <sz val="10"/>
        <rFont val="Arial"/>
        <family val="2"/>
      </rPr>
      <t>II</t>
    </r>
  </si>
  <si>
    <t>CORRECTION FOR GROUP I AND GROUP II EFFECTS ON STRAND ELONGATIONS</t>
  </si>
  <si>
    <t>Summary of Group I and II Elongation Corrections Gross and Net</t>
  </si>
  <si>
    <r>
      <t>e</t>
    </r>
    <r>
      <rPr>
        <b/>
        <vertAlign val="subscript"/>
        <sz val="10"/>
        <rFont val="Arial"/>
        <family val="2"/>
      </rPr>
      <t>CG</t>
    </r>
  </si>
  <si>
    <r>
      <t>e</t>
    </r>
    <r>
      <rPr>
        <b/>
        <vertAlign val="subscript"/>
        <sz val="10"/>
        <rFont val="Arial"/>
        <family val="2"/>
      </rPr>
      <t>CN</t>
    </r>
  </si>
  <si>
    <t>Permitted Gross and Net Ranges for Corrected Elongations</t>
  </si>
  <si>
    <r>
      <t>Min Straight Strand e = 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2"/>
      </rPr>
      <t xml:space="preserve"> or 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2"/>
      </rPr>
      <t xml:space="preserve"> x 0.97</t>
    </r>
  </si>
  <si>
    <r>
      <t>Min Draped Strand e = 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2"/>
      </rPr>
      <t xml:space="preserve"> or 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2"/>
      </rPr>
      <t xml:space="preserve"> x 0.95</t>
    </r>
  </si>
  <si>
    <r>
      <t>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0"/>
      </rPr>
      <t>-3%</t>
    </r>
  </si>
  <si>
    <r>
      <t>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0"/>
      </rPr>
      <t>+3%</t>
    </r>
  </si>
  <si>
    <r>
      <t>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0"/>
      </rPr>
      <t>-5%</t>
    </r>
  </si>
  <si>
    <r>
      <t>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0"/>
      </rPr>
      <t>+5%</t>
    </r>
  </si>
  <si>
    <t xml:space="preserve">          Straight Strands</t>
  </si>
  <si>
    <r>
      <t>Max Straight Strand e = 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0"/>
      </rPr>
      <t xml:space="preserve"> or 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0"/>
      </rPr>
      <t xml:space="preserve"> x 1.03 </t>
    </r>
  </si>
  <si>
    <r>
      <t>Max Draped Strand e = 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0"/>
      </rPr>
      <t xml:space="preserve"> or 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0"/>
      </rPr>
      <t xml:space="preserve"> x 1.05 </t>
    </r>
  </si>
  <si>
    <t>correction is overriden.</t>
  </si>
  <si>
    <t>Singlet Elongations</t>
  </si>
  <si>
    <r>
      <t>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0"/>
      </rPr>
      <t>-3%</t>
    </r>
  </si>
  <si>
    <r>
      <t>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0"/>
      </rPr>
      <t>+3%</t>
    </r>
  </si>
  <si>
    <r>
      <t>e</t>
    </r>
    <r>
      <rPr>
        <vertAlign val="subscript"/>
        <sz val="10"/>
        <rFont val="Arial"/>
        <family val="2"/>
      </rPr>
      <t>CN</t>
    </r>
  </si>
  <si>
    <t>CORRECTION FOR GROUP I EFFECTS ON STRAND FORCES</t>
  </si>
  <si>
    <t>Calculations and Summary of Group I Force Corrections</t>
  </si>
  <si>
    <t>Live End Seating</t>
  </si>
  <si>
    <r>
      <t>P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</t>
    </r>
  </si>
  <si>
    <r>
      <t>E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e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/ L</t>
    </r>
  </si>
  <si>
    <t>Other</t>
  </si>
  <si>
    <t>Specifed by user</t>
  </si>
  <si>
    <r>
      <t>P</t>
    </r>
    <r>
      <rPr>
        <b/>
        <vertAlign val="subscript"/>
        <sz val="10"/>
        <rFont val="Arial"/>
        <family val="2"/>
      </rPr>
      <t>L</t>
    </r>
  </si>
  <si>
    <r>
      <t>P</t>
    </r>
    <r>
      <rPr>
        <b/>
        <vertAlign val="subscript"/>
        <sz val="10"/>
        <rFont val="Arial"/>
        <family val="2"/>
      </rPr>
      <t>OI</t>
    </r>
  </si>
  <si>
    <r>
      <t>P</t>
    </r>
    <r>
      <rPr>
        <b/>
        <vertAlign val="subscript"/>
        <sz val="10"/>
        <rFont val="Arial"/>
        <family val="2"/>
      </rPr>
      <t>T</t>
    </r>
  </si>
  <si>
    <t>Corrected Loads, Maximum Permitted Loads, and Maximum Permitted Temperature</t>
  </si>
  <si>
    <t>Corrected Ld.</t>
  </si>
  <si>
    <t>Design Plan Ld.</t>
  </si>
  <si>
    <t>Permitted Ld.</t>
  </si>
  <si>
    <t>Perm. Ld.</t>
  </si>
  <si>
    <t>Temp. Change</t>
  </si>
  <si>
    <r>
      <rPr>
        <b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i</t>
    </r>
  </si>
  <si>
    <r>
      <rPr>
        <b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i+T</t>
    </r>
  </si>
  <si>
    <r>
      <rPr>
        <b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max</t>
    </r>
  </si>
  <si>
    <t xml:space="preserve">Use Gross or </t>
  </si>
  <si>
    <t>Net Corrected</t>
  </si>
  <si>
    <t>Elongations?</t>
  </si>
  <si>
    <t>Gross</t>
  </si>
  <si>
    <t>Net</t>
  </si>
  <si>
    <r>
      <t>e</t>
    </r>
    <r>
      <rPr>
        <vertAlign val="subscript"/>
        <sz val="10"/>
        <rFont val="Arial"/>
        <family val="2"/>
      </rPr>
      <t xml:space="preserve">CG </t>
    </r>
    <r>
      <rPr>
        <sz val="10"/>
        <rFont val="Arial"/>
        <family val="2"/>
      </rPr>
      <t>=</t>
    </r>
  </si>
  <si>
    <r>
      <t>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0"/>
      </rPr>
      <t xml:space="preserve"> =</t>
    </r>
  </si>
  <si>
    <t>Temperature</t>
  </si>
  <si>
    <r>
      <t>T</t>
    </r>
    <r>
      <rPr>
        <vertAlign val="subscript"/>
        <sz val="10"/>
        <rFont val="Symbol"/>
        <family val="1"/>
      </rPr>
      <t>D</t>
    </r>
    <r>
      <rPr>
        <sz val="10"/>
        <rFont val="Arial"/>
        <family val="2"/>
      </rPr>
      <t xml:space="preserve"> = Maximum permitted temperature change</t>
    </r>
  </si>
  <si>
    <r>
      <t>P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</t>
    </r>
  </si>
  <si>
    <r>
      <t>T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 xml:space="preserve"> = Minimum permitted temperature</t>
    </r>
  </si>
  <si>
    <t>Tot. Corr.</t>
  </si>
  <si>
    <r>
      <t>T</t>
    </r>
    <r>
      <rPr>
        <vertAlign val="subscript"/>
        <sz val="10"/>
        <rFont val="Symbol"/>
        <family val="1"/>
      </rPr>
      <t>D</t>
    </r>
    <r>
      <rPr>
        <vertAlign val="superscript"/>
        <sz val="10"/>
        <rFont val="Symbol"/>
        <family val="1"/>
      </rPr>
      <t>*</t>
    </r>
    <r>
      <rPr>
        <sz val="10"/>
        <rFont val="Arial"/>
        <family val="2"/>
      </rPr>
      <t xml:space="preserve"> =</t>
    </r>
  </si>
  <si>
    <t xml:space="preserve">*Maximum permitted temperature change to not exceed  </t>
  </si>
  <si>
    <r>
      <t>P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(5% temperature correction limitation applies to </t>
    </r>
  </si>
  <si>
    <r>
      <t>T</t>
    </r>
    <r>
      <rPr>
        <b/>
        <vertAlign val="subscript"/>
        <sz val="10"/>
        <rFont val="Symbol"/>
        <family val="1"/>
      </rPr>
      <t>D</t>
    </r>
    <r>
      <rPr>
        <b/>
        <vertAlign val="superscript"/>
        <sz val="10"/>
        <rFont val="Symbol"/>
        <family val="1"/>
      </rPr>
      <t>**</t>
    </r>
  </si>
  <si>
    <r>
      <rPr>
        <b/>
        <sz val="10"/>
        <rFont val="Arial"/>
        <family val="2"/>
      </rPr>
      <t>T</t>
    </r>
    <r>
      <rPr>
        <b/>
        <vertAlign val="subscript"/>
        <sz val="10"/>
        <rFont val="Arial"/>
        <family val="2"/>
      </rPr>
      <t>min</t>
    </r>
    <r>
      <rPr>
        <b/>
        <vertAlign val="superscript"/>
        <sz val="10"/>
        <rFont val="Arial"/>
        <family val="2"/>
      </rPr>
      <t>**</t>
    </r>
  </si>
  <si>
    <r>
      <t>T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 xml:space="preserve"> =</t>
    </r>
  </si>
  <si>
    <t>Summary of Group I and Group II Elongation Corrections</t>
  </si>
  <si>
    <r>
      <t>e + e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+ e</t>
    </r>
    <r>
      <rPr>
        <vertAlign val="subscript"/>
        <sz val="10"/>
        <rFont val="Arial"/>
        <family val="2"/>
      </rPr>
      <t>II</t>
    </r>
  </si>
  <si>
    <r>
      <t>e + e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+ e</t>
    </r>
    <r>
      <rPr>
        <vertAlign val="subscript"/>
        <sz val="10"/>
        <rFont val="Arial"/>
        <family val="2"/>
      </rPr>
      <t>II</t>
    </r>
    <r>
      <rPr>
        <sz val="10"/>
        <rFont val="Arial"/>
        <family val="2"/>
      </rPr>
      <t xml:space="preserve"> - e</t>
    </r>
    <r>
      <rPr>
        <vertAlign val="subscript"/>
        <sz val="10"/>
        <rFont val="Arial"/>
        <family val="2"/>
      </rPr>
      <t>L</t>
    </r>
  </si>
  <si>
    <t>Group I</t>
  </si>
  <si>
    <t>Total</t>
  </si>
  <si>
    <t>Group II</t>
  </si>
  <si>
    <t>Singlet Forces</t>
  </si>
  <si>
    <r>
      <t>P</t>
    </r>
    <r>
      <rPr>
        <vertAlign val="subscript"/>
        <sz val="10"/>
        <rFont val="Arial"/>
        <family val="2"/>
      </rPr>
      <t>i+T</t>
    </r>
    <r>
      <rPr>
        <sz val="10"/>
        <rFont val="Arial"/>
        <family val="2"/>
      </rPr>
      <t xml:space="preserve"> = Total corrected pulling force per strand</t>
    </r>
  </si>
  <si>
    <t>MICRO</t>
  </si>
  <si>
    <t>or County Engineer</t>
  </si>
  <si>
    <t>County or City</t>
  </si>
  <si>
    <t>or City Engineer</t>
  </si>
  <si>
    <t>RE/Co. Eng./City Eng.</t>
  </si>
  <si>
    <t>Division/County/City</t>
  </si>
  <si>
    <t>IDOT Mix No.</t>
  </si>
  <si>
    <t>Type of Product (s)</t>
  </si>
  <si>
    <t>P/S #</t>
  </si>
  <si>
    <t>Flyash P/S #</t>
  </si>
  <si>
    <t>Cement P/S #</t>
  </si>
  <si>
    <t>Notes</t>
  </si>
  <si>
    <t>Cement Quantity</t>
  </si>
  <si>
    <t>Cement Unit</t>
  </si>
  <si>
    <t>Fly Ash Unit</t>
  </si>
  <si>
    <t>Fly Ash Quantity</t>
  </si>
  <si>
    <t>CA 1 P/S #</t>
  </si>
  <si>
    <t>CA 1 Unit</t>
  </si>
  <si>
    <t>CA 1 Quantity</t>
  </si>
  <si>
    <t>CA 2 P/S #</t>
  </si>
  <si>
    <t>CA 2 Unit</t>
  </si>
  <si>
    <t>CA 2 Quantity</t>
  </si>
  <si>
    <t>FA P/S #</t>
  </si>
  <si>
    <t>FA Unit</t>
  </si>
  <si>
    <t>FA Quantity</t>
  </si>
  <si>
    <t>AEA P/S #</t>
  </si>
  <si>
    <t>AEA Unit</t>
  </si>
  <si>
    <t>AEA Quantity</t>
  </si>
  <si>
    <t>WRDA P/S #</t>
  </si>
  <si>
    <t>WRDA Unit</t>
  </si>
  <si>
    <t>WRDA Quantity</t>
  </si>
  <si>
    <t>DCI P/S #</t>
  </si>
  <si>
    <t>SOURCES AND QUANTITIES IN MIX</t>
  </si>
  <si>
    <t>FINAL REPORT</t>
  </si>
  <si>
    <t>Form LX-669</t>
  </si>
  <si>
    <t>Form LX-666</t>
  </si>
  <si>
    <t>Form LX-6751</t>
  </si>
  <si>
    <t>LX-728</t>
  </si>
  <si>
    <t>MI 083</t>
  </si>
  <si>
    <t>LX-727</t>
  </si>
  <si>
    <t>Per Cu. Yd.</t>
  </si>
  <si>
    <t>(Std. Measures)</t>
  </si>
  <si>
    <t>Cement:</t>
  </si>
  <si>
    <t>Fly Ash:</t>
  </si>
  <si>
    <t>Coarse Agg:</t>
  </si>
  <si>
    <t>Course Agg:</t>
  </si>
  <si>
    <t>Fine Agg:</t>
  </si>
  <si>
    <t>AEA:</t>
  </si>
  <si>
    <t>WRDA:</t>
  </si>
  <si>
    <t>DCI:</t>
  </si>
  <si>
    <t>Retarder:</t>
  </si>
  <si>
    <t>Super:</t>
  </si>
  <si>
    <t>Micro:</t>
  </si>
  <si>
    <t>Water:</t>
  </si>
  <si>
    <t>Tarp Time:</t>
  </si>
  <si>
    <t>Water/Steam:</t>
  </si>
  <si>
    <t>Cut Strand:</t>
  </si>
  <si>
    <t>Plan Yards:</t>
  </si>
  <si>
    <t>Actual Yards:</t>
  </si>
  <si>
    <t>Type:</t>
  </si>
  <si>
    <t>Calibration</t>
  </si>
  <si>
    <r>
      <t>L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</si>
  <si>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r>
      <t>Factor (CF</t>
    </r>
    <r>
      <rPr>
        <vertAlign val="subscript"/>
        <sz val="10"/>
        <rFont val="Arial"/>
        <family val="2"/>
      </rPr>
      <t>SB</t>
    </r>
    <r>
      <rPr>
        <sz val="10"/>
        <rFont val="Arial"/>
        <family val="2"/>
      </rPr>
      <t>)</t>
    </r>
  </si>
  <si>
    <r>
      <t>E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</si>
  <si>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t>Expected Ttl Bed</t>
  </si>
  <si>
    <r>
      <t>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</si>
  <si>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 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x N</t>
    </r>
    <r>
      <rPr>
        <vertAlign val="subscript"/>
        <sz val="10"/>
        <rFont val="Arial"/>
        <family val="2"/>
      </rPr>
      <t xml:space="preserve">s </t>
    </r>
    <r>
      <rPr>
        <sz val="10"/>
        <rFont val="Arial"/>
        <family val="2"/>
      </rPr>
      <t>=</t>
    </r>
  </si>
  <si>
    <r>
      <t>S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 CF</t>
    </r>
    <r>
      <rPr>
        <vertAlign val="subscript"/>
        <sz val="10"/>
        <rFont val="Arial"/>
        <family val="2"/>
      </rPr>
      <t>SB</t>
    </r>
    <r>
      <rPr>
        <sz val="10"/>
        <rFont val="Arial"/>
        <family val="2"/>
      </rPr>
      <t xml:space="preserve"> x (P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/ 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) x (L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/ E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)</t>
    </r>
  </si>
  <si>
    <r>
      <t>L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 Form (bed) length</t>
    </r>
  </si>
  <si>
    <r>
      <t>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 Cross sectional area of bed (form)</t>
    </r>
  </si>
  <si>
    <r>
      <t>E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 Modulus of elasticity of bed</t>
    </r>
  </si>
  <si>
    <r>
      <t>P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 Total design compressive force (in bed/form)</t>
    </r>
  </si>
  <si>
    <t>FIELD TENSIONING REPORT FOR IL-BEAMS</t>
  </si>
  <si>
    <t>Job Total Beams (Number &amp; Size Description)</t>
  </si>
  <si>
    <t>IL-Beam</t>
  </si>
  <si>
    <t>L'L" x ( B"xW"xT' ) x H"</t>
  </si>
  <si>
    <t>27604M</t>
  </si>
  <si>
    <t>27603M</t>
  </si>
  <si>
    <t>Prest Conc N IL-Beam</t>
  </si>
  <si>
    <t>Prest Conc W IL-Beam</t>
  </si>
  <si>
    <t xml:space="preserve">IL-Beams: </t>
  </si>
  <si>
    <t>INITIAL SETUP IL-BEAM INPUT AREA</t>
  </si>
  <si>
    <t>Draped Strands:</t>
  </si>
  <si>
    <t>IL-Beams:</t>
  </si>
  <si>
    <t>ILbeam Ten 2</t>
  </si>
  <si>
    <t>IL-Beams Program Main Menu</t>
  </si>
  <si>
    <t>ROW #1B</t>
  </si>
  <si>
    <t>ROW #2B</t>
  </si>
  <si>
    <t>ROW #3B</t>
  </si>
  <si>
    <t>ROW #4B</t>
  </si>
  <si>
    <t>ROW #5B</t>
  </si>
  <si>
    <t>ROW #6B</t>
  </si>
  <si>
    <t>ROW #7B</t>
  </si>
  <si>
    <t>ROW #8B</t>
  </si>
  <si>
    <t>Top Rows (Straight or Draped)**</t>
  </si>
  <si>
    <t>27 IL-Beam Tensioning 1</t>
  </si>
  <si>
    <t>IL-BEAM TOLERANCE REPORT</t>
  </si>
  <si>
    <t>ILbeam Tol</t>
  </si>
  <si>
    <t>IL BEAM Tolerances</t>
  </si>
  <si>
    <t>Debonding</t>
  </si>
  <si>
    <t>36-72 IL-Beam Tensioning</t>
  </si>
  <si>
    <t>IL36-72 Ten</t>
  </si>
  <si>
    <t>Revised 4/22/16</t>
  </si>
  <si>
    <t>Extended Strands</t>
  </si>
  <si>
    <t>Plumbness</t>
  </si>
  <si>
    <t># of Extended Str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</si>
</sst>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_)"/>
    <numFmt numFmtId="170" formatCode="0.0000_)"/>
    <numFmt numFmtId="171" formatCode="0.00000000"/>
    <numFmt numFmtId="172" formatCode="0.000000000"/>
    <numFmt numFmtId="173" formatCode="mm/dd/yy_)"/>
    <numFmt numFmtId="174" formatCode="0.0_)"/>
    <numFmt numFmtId="175" formatCode="hh:mm_)"/>
    <numFmt numFmtId="176" formatCode="0.00_)"/>
    <numFmt numFmtId="177" formatCode="hh:mm\ AM/PM_)"/>
    <numFmt numFmtId="178" formatCode="0.000_)"/>
    <numFmt numFmtId="179" formatCode="#,##0.0_);\(#,##0.0\)"/>
    <numFmt numFmtId="180" formatCode="[$-409]dddd\,\ mmmm\ dd\,\ yyyy"/>
    <numFmt numFmtId="181" formatCode="m/d/yy;@"/>
    <numFmt numFmtId="182" formatCode="0.0"/>
    <numFmt numFmtId="183" formatCode="0_);\(0\)"/>
    <numFmt numFmtId="184" formatCode="#\ ??/16"/>
    <numFmt numFmtId="185" formatCode="#\ ?/8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b/>
      <sz val="12"/>
      <color indexed="8"/>
      <name val="Arial MT"/>
      <family val="2"/>
    </font>
    <font>
      <sz val="8"/>
      <color indexed="18"/>
      <name val="Arial"/>
      <family val="2"/>
    </font>
    <font>
      <sz val="8"/>
      <name val="Arial MT"/>
      <family val="2"/>
    </font>
    <font>
      <sz val="10"/>
      <name val="Arial MT"/>
      <family val="2"/>
    </font>
    <font>
      <b/>
      <sz val="8"/>
      <name val="Arial MT"/>
      <family val="2"/>
    </font>
    <font>
      <b/>
      <sz val="14"/>
      <name val="Arial"/>
      <family val="2"/>
    </font>
    <font>
      <sz val="8"/>
      <color indexed="12"/>
      <name val="Courier"/>
      <family val="3"/>
    </font>
    <font>
      <b/>
      <sz val="8"/>
      <color indexed="12"/>
      <name val="Arial MT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b/>
      <sz val="8"/>
      <name val="Arial"/>
      <family val="2"/>
    </font>
    <font>
      <sz val="8"/>
      <color indexed="14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i/>
      <u val="single"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b/>
      <vertAlign val="subscript"/>
      <sz val="10"/>
      <name val="Arial"/>
      <family val="2"/>
    </font>
    <font>
      <vertAlign val="subscript"/>
      <sz val="9"/>
      <name val="Arial"/>
      <family val="2"/>
    </font>
    <font>
      <vertAlign val="subscript"/>
      <sz val="10"/>
      <name val="Symbol"/>
      <family val="1"/>
    </font>
    <font>
      <b/>
      <vertAlign val="subscript"/>
      <sz val="10"/>
      <name val="Symbol"/>
      <family val="1"/>
    </font>
    <font>
      <vertAlign val="superscript"/>
      <sz val="10"/>
      <name val="Symbol"/>
      <family val="1"/>
    </font>
    <font>
      <b/>
      <vertAlign val="superscript"/>
      <sz val="10"/>
      <name val="Symbol"/>
      <family val="1"/>
    </font>
    <font>
      <b/>
      <vertAlign val="superscript"/>
      <sz val="10"/>
      <name val="Arial"/>
      <family val="2"/>
    </font>
    <font>
      <b/>
      <u val="single"/>
      <sz val="12"/>
      <color indexed="10"/>
      <name val="Arial"/>
      <family val="2"/>
    </font>
    <font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</fills>
  <borders count="1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/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double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10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/>
      <protection locked="0"/>
    </xf>
    <xf numFmtId="0" fontId="2" fillId="35" borderId="12" xfId="0" applyFont="1" applyFill="1" applyBorder="1" applyAlignment="1" applyProtection="1">
      <alignment horizontal="center"/>
      <protection locked="0"/>
    </xf>
    <xf numFmtId="0" fontId="2" fillId="35" borderId="13" xfId="0" applyFont="1" applyFill="1" applyBorder="1" applyAlignment="1" applyProtection="1">
      <alignment/>
      <protection locked="0"/>
    </xf>
    <xf numFmtId="0" fontId="2" fillId="35" borderId="0" xfId="0" applyFont="1" applyFill="1" applyAlignment="1" applyProtection="1">
      <alignment/>
      <protection locked="0"/>
    </xf>
    <xf numFmtId="0" fontId="2" fillId="35" borderId="14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35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0" fillId="35" borderId="10" xfId="0" applyFont="1" applyFill="1" applyBorder="1" applyAlignment="1" applyProtection="1">
      <alignment horizontal="center"/>
      <protection locked="0"/>
    </xf>
    <xf numFmtId="0" fontId="0" fillId="35" borderId="15" xfId="0" applyFont="1" applyFill="1" applyBorder="1" applyAlignment="1" applyProtection="1">
      <alignment horizontal="center"/>
      <protection locked="0"/>
    </xf>
    <xf numFmtId="173" fontId="0" fillId="35" borderId="12" xfId="0" applyNumberFormat="1" applyFont="1" applyFill="1" applyBorder="1" applyAlignment="1" applyProtection="1">
      <alignment/>
      <protection locked="0"/>
    </xf>
    <xf numFmtId="0" fontId="0" fillId="35" borderId="16" xfId="0" applyFont="1" applyFill="1" applyBorder="1" applyAlignment="1" applyProtection="1">
      <alignment/>
      <protection locked="0"/>
    </xf>
    <xf numFmtId="0" fontId="2" fillId="35" borderId="16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0" fillId="35" borderId="17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/>
    </xf>
    <xf numFmtId="168" fontId="0" fillId="0" borderId="10" xfId="0" applyNumberFormat="1" applyBorder="1" applyAlignment="1">
      <alignment horizontal="center"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174" fontId="2" fillId="0" borderId="0" xfId="0" applyNumberFormat="1" applyFont="1" applyFill="1" applyBorder="1" applyAlignment="1" applyProtection="1">
      <alignment horizontal="center" vertical="center"/>
      <protection/>
    </xf>
    <xf numFmtId="169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170" fontId="2" fillId="33" borderId="18" xfId="0" applyNumberFormat="1" applyFont="1" applyFill="1" applyBorder="1" applyAlignment="1" applyProtection="1">
      <alignment/>
      <protection/>
    </xf>
    <xf numFmtId="170" fontId="2" fillId="33" borderId="19" xfId="0" applyNumberFormat="1" applyFont="1" applyFill="1" applyBorder="1" applyAlignment="1" applyProtection="1">
      <alignment/>
      <protection/>
    </xf>
    <xf numFmtId="170" fontId="2" fillId="33" borderId="20" xfId="0" applyNumberFormat="1" applyFont="1" applyFill="1" applyBorder="1" applyAlignment="1" applyProtection="1">
      <alignment/>
      <protection/>
    </xf>
    <xf numFmtId="0" fontId="0" fillId="36" borderId="10" xfId="0" applyFont="1" applyFill="1" applyBorder="1" applyAlignment="1" applyProtection="1">
      <alignment horizontal="center"/>
      <protection locked="0"/>
    </xf>
    <xf numFmtId="0" fontId="0" fillId="37" borderId="0" xfId="0" applyFill="1" applyBorder="1" applyAlignment="1">
      <alignment/>
    </xf>
    <xf numFmtId="0" fontId="0" fillId="35" borderId="21" xfId="0" applyFont="1" applyFill="1" applyBorder="1" applyAlignment="1" applyProtection="1">
      <alignment/>
      <protection locked="0"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0" fontId="2" fillId="38" borderId="0" xfId="0" applyFont="1" applyFill="1" applyAlignment="1">
      <alignment/>
    </xf>
    <xf numFmtId="0" fontId="0" fillId="38" borderId="0" xfId="0" applyFill="1" applyBorder="1" applyAlignment="1">
      <alignment/>
    </xf>
    <xf numFmtId="0" fontId="2" fillId="35" borderId="22" xfId="0" applyFont="1" applyFill="1" applyBorder="1" applyAlignment="1" applyProtection="1">
      <alignment/>
      <protection locked="0"/>
    </xf>
    <xf numFmtId="0" fontId="0" fillId="35" borderId="23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right"/>
    </xf>
    <xf numFmtId="169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35" borderId="24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right"/>
    </xf>
    <xf numFmtId="0" fontId="1" fillId="35" borderId="2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right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35" borderId="24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178" fontId="0" fillId="35" borderId="10" xfId="0" applyNumberFormat="1" applyFont="1" applyFill="1" applyBorder="1" applyAlignment="1" applyProtection="1">
      <alignment horizontal="center"/>
      <protection locked="0"/>
    </xf>
    <xf numFmtId="0" fontId="0" fillId="39" borderId="16" xfId="0" applyFont="1" applyFill="1" applyBorder="1" applyAlignment="1" applyProtection="1">
      <alignment/>
      <protection/>
    </xf>
    <xf numFmtId="0" fontId="0" fillId="39" borderId="26" xfId="0" applyFont="1" applyFill="1" applyBorder="1" applyAlignment="1" applyProtection="1">
      <alignment/>
      <protection/>
    </xf>
    <xf numFmtId="0" fontId="0" fillId="39" borderId="15" xfId="0" applyFont="1" applyFill="1" applyBorder="1" applyAlignment="1" applyProtection="1">
      <alignment/>
      <protection/>
    </xf>
    <xf numFmtId="39" fontId="0" fillId="35" borderId="12" xfId="0" applyNumberFormat="1" applyFont="1" applyFill="1" applyBorder="1" applyAlignment="1" applyProtection="1">
      <alignment horizontal="center"/>
      <protection locked="0"/>
    </xf>
    <xf numFmtId="173" fontId="0" fillId="35" borderId="12" xfId="0" applyNumberFormat="1" applyFont="1" applyFill="1" applyBorder="1" applyAlignment="1" applyProtection="1">
      <alignment horizontal="center"/>
      <protection locked="0"/>
    </xf>
    <xf numFmtId="179" fontId="0" fillId="35" borderId="12" xfId="0" applyNumberFormat="1" applyFont="1" applyFill="1" applyBorder="1" applyAlignment="1" applyProtection="1">
      <alignment horizontal="center"/>
      <protection locked="0"/>
    </xf>
    <xf numFmtId="179" fontId="0" fillId="35" borderId="27" xfId="0" applyNumberFormat="1" applyFont="1" applyFill="1" applyBorder="1" applyAlignment="1" applyProtection="1">
      <alignment horizontal="center"/>
      <protection locked="0"/>
    </xf>
    <xf numFmtId="174" fontId="0" fillId="35" borderId="12" xfId="0" applyNumberFormat="1" applyFont="1" applyFill="1" applyBorder="1" applyAlignment="1" applyProtection="1">
      <alignment horizontal="center"/>
      <protection locked="0"/>
    </xf>
    <xf numFmtId="173" fontId="0" fillId="0" borderId="12" xfId="0" applyNumberFormat="1" applyFont="1" applyFill="1" applyBorder="1" applyAlignment="1" applyProtection="1">
      <alignment horizontal="center"/>
      <protection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77" fontId="0" fillId="35" borderId="12" xfId="0" applyNumberFormat="1" applyFont="1" applyFill="1" applyBorder="1" applyAlignment="1" applyProtection="1">
      <alignment horizontal="center" vertical="center"/>
      <protection locked="0"/>
    </xf>
    <xf numFmtId="174" fontId="0" fillId="35" borderId="12" xfId="0" applyNumberFormat="1" applyFont="1" applyFill="1" applyBorder="1" applyAlignment="1" applyProtection="1">
      <alignment horizontal="center" vertical="center"/>
      <protection locked="0"/>
    </xf>
    <xf numFmtId="176" fontId="0" fillId="35" borderId="11" xfId="0" applyNumberFormat="1" applyFont="1" applyFill="1" applyBorder="1" applyAlignment="1" applyProtection="1">
      <alignment horizontal="center" vertical="center"/>
      <protection locked="0"/>
    </xf>
    <xf numFmtId="174" fontId="0" fillId="35" borderId="27" xfId="0" applyNumberFormat="1" applyFont="1" applyFill="1" applyBorder="1" applyAlignment="1" applyProtection="1">
      <alignment horizontal="center" vertical="center"/>
      <protection locked="0"/>
    </xf>
    <xf numFmtId="0" fontId="0" fillId="35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173" fontId="0" fillId="0" borderId="0" xfId="0" applyNumberFormat="1" applyFont="1" applyFill="1" applyBorder="1" applyAlignment="1" applyProtection="1">
      <alignment horizontal="center"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center" vertical="center"/>
    </xf>
    <xf numFmtId="177" fontId="0" fillId="35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/>
      <protection locked="0"/>
    </xf>
    <xf numFmtId="0" fontId="2" fillId="37" borderId="0" xfId="0" applyFont="1" applyFill="1" applyBorder="1" applyAlignment="1" applyProtection="1">
      <alignment/>
      <protection/>
    </xf>
    <xf numFmtId="0" fontId="2" fillId="37" borderId="0" xfId="0" applyFont="1" applyFill="1" applyBorder="1" applyAlignment="1" applyProtection="1">
      <alignment horizontal="center"/>
      <protection/>
    </xf>
    <xf numFmtId="0" fontId="2" fillId="37" borderId="0" xfId="0" applyFont="1" applyFill="1" applyBorder="1" applyAlignment="1" applyProtection="1">
      <alignment horizontal="left"/>
      <protection/>
    </xf>
    <xf numFmtId="167" fontId="2" fillId="37" borderId="0" xfId="0" applyNumberFormat="1" applyFont="1" applyFill="1" applyBorder="1" applyAlignment="1" applyProtection="1">
      <alignment horizontal="center"/>
      <protection/>
    </xf>
    <xf numFmtId="0" fontId="2" fillId="37" borderId="0" xfId="0" applyFont="1" applyFill="1" applyBorder="1" applyAlignment="1" applyProtection="1" quotePrefix="1">
      <alignment horizontal="center"/>
      <protection/>
    </xf>
    <xf numFmtId="167" fontId="2" fillId="37" borderId="0" xfId="0" applyNumberFormat="1" applyFont="1" applyFill="1" applyBorder="1" applyAlignment="1" applyProtection="1">
      <alignment/>
      <protection/>
    </xf>
    <xf numFmtId="0" fontId="0" fillId="37" borderId="0" xfId="0" applyFill="1" applyAlignment="1">
      <alignment/>
    </xf>
    <xf numFmtId="0" fontId="0" fillId="35" borderId="28" xfId="0" applyFont="1" applyFill="1" applyBorder="1" applyAlignment="1" applyProtection="1">
      <alignment/>
      <protection locked="0"/>
    </xf>
    <xf numFmtId="1" fontId="0" fillId="0" borderId="0" xfId="0" applyNumberFormat="1" applyAlignment="1">
      <alignment/>
    </xf>
    <xf numFmtId="0" fontId="0" fillId="35" borderId="17" xfId="0" applyFont="1" applyFill="1" applyBorder="1" applyAlignment="1" applyProtection="1">
      <alignment horizontal="left"/>
      <protection locked="0"/>
    </xf>
    <xf numFmtId="0" fontId="1" fillId="35" borderId="10" xfId="0" applyFont="1" applyFill="1" applyBorder="1" applyAlignment="1" applyProtection="1">
      <alignment horizontal="center"/>
      <protection locked="0"/>
    </xf>
    <xf numFmtId="0" fontId="0" fillId="35" borderId="24" xfId="0" applyFill="1" applyBorder="1" applyAlignment="1" applyProtection="1">
      <alignment/>
      <protection locked="0"/>
    </xf>
    <xf numFmtId="0" fontId="1" fillId="35" borderId="12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 horizontal="center" vertical="center"/>
      <protection/>
    </xf>
    <xf numFmtId="37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7" fontId="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35" borderId="2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/>
    </xf>
    <xf numFmtId="0" fontId="26" fillId="37" borderId="0" xfId="0" applyFont="1" applyFill="1" applyBorder="1" applyAlignment="1" applyProtection="1">
      <alignment/>
      <protection/>
    </xf>
    <xf numFmtId="0" fontId="2" fillId="40" borderId="12" xfId="0" applyFont="1" applyFill="1" applyBorder="1" applyAlignment="1" applyProtection="1">
      <alignment/>
      <protection locked="0"/>
    </xf>
    <xf numFmtId="0" fontId="2" fillId="40" borderId="11" xfId="0" applyFont="1" applyFill="1" applyBorder="1" applyAlignment="1" applyProtection="1">
      <alignment/>
      <protection locked="0"/>
    </xf>
    <xf numFmtId="0" fontId="2" fillId="40" borderId="30" xfId="0" applyFont="1" applyFill="1" applyBorder="1" applyAlignment="1" applyProtection="1">
      <alignment/>
      <protection locked="0"/>
    </xf>
    <xf numFmtId="0" fontId="2" fillId="40" borderId="13" xfId="0" applyFont="1" applyFill="1" applyBorder="1" applyAlignment="1" applyProtection="1">
      <alignment/>
      <protection locked="0"/>
    </xf>
    <xf numFmtId="0" fontId="2" fillId="40" borderId="0" xfId="0" applyFont="1" applyFill="1" applyAlignment="1" applyProtection="1">
      <alignment/>
      <protection locked="0"/>
    </xf>
    <xf numFmtId="0" fontId="27" fillId="37" borderId="0" xfId="0" applyFont="1" applyFill="1" applyAlignment="1">
      <alignment/>
    </xf>
    <xf numFmtId="49" fontId="0" fillId="35" borderId="10" xfId="0" applyNumberFormat="1" applyFont="1" applyFill="1" applyBorder="1" applyAlignment="1" applyProtection="1">
      <alignment horizontal="center"/>
      <protection locked="0"/>
    </xf>
    <xf numFmtId="18" fontId="0" fillId="35" borderId="10" xfId="0" applyNumberFormat="1" applyFont="1" applyFill="1" applyBorder="1" applyAlignment="1" applyProtection="1">
      <alignment horizontal="center"/>
      <protection locked="0"/>
    </xf>
    <xf numFmtId="20" fontId="0" fillId="35" borderId="12" xfId="0" applyNumberFormat="1" applyFont="1" applyFill="1" applyBorder="1" applyAlignment="1" applyProtection="1">
      <alignment horizontal="center" vertical="center"/>
      <protection locked="0"/>
    </xf>
    <xf numFmtId="0" fontId="0" fillId="35" borderId="2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/>
    </xf>
    <xf numFmtId="168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5" borderId="17" xfId="0" applyFont="1" applyFill="1" applyBorder="1" applyAlignment="1" applyProtection="1">
      <alignment/>
      <protection locked="0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168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69" fontId="2" fillId="0" borderId="0" xfId="0" applyNumberFormat="1" applyFont="1" applyFill="1" applyBorder="1" applyAlignment="1" applyProtection="1">
      <alignment/>
      <protection/>
    </xf>
    <xf numFmtId="170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8" fontId="0" fillId="35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166" fontId="2" fillId="33" borderId="31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2" fillId="38" borderId="0" xfId="0" applyFont="1" applyFill="1" applyBorder="1" applyAlignment="1" applyProtection="1">
      <alignment horizontal="left"/>
      <protection locked="0"/>
    </xf>
    <xf numFmtId="0" fontId="0" fillId="38" borderId="10" xfId="0" applyFill="1" applyBorder="1" applyAlignment="1">
      <alignment horizontal="center"/>
    </xf>
    <xf numFmtId="0" fontId="2" fillId="40" borderId="12" xfId="0" applyFont="1" applyFill="1" applyBorder="1" applyAlignment="1" applyProtection="1">
      <alignment horizontal="left"/>
      <protection locked="0"/>
    </xf>
    <xf numFmtId="0" fontId="2" fillId="35" borderId="10" xfId="0" applyFont="1" applyFill="1" applyBorder="1" applyAlignment="1" applyProtection="1">
      <alignment horizontal="center"/>
      <protection locked="0"/>
    </xf>
    <xf numFmtId="0" fontId="2" fillId="35" borderId="17" xfId="0" applyFont="1" applyFill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"/>
      <protection/>
    </xf>
    <xf numFmtId="0" fontId="1" fillId="0" borderId="33" xfId="0" applyFont="1" applyFill="1" applyBorder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center"/>
      <protection/>
    </xf>
    <xf numFmtId="0" fontId="1" fillId="0" borderId="35" xfId="0" applyFont="1" applyFill="1" applyBorder="1" applyAlignment="1" applyProtection="1">
      <alignment horizontal="center"/>
      <protection/>
    </xf>
    <xf numFmtId="0" fontId="1" fillId="0" borderId="36" xfId="0" applyFont="1" applyFill="1" applyBorder="1" applyAlignment="1" applyProtection="1">
      <alignment horizontal="center"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0" fillId="0" borderId="38" xfId="0" applyFont="1" applyFill="1" applyBorder="1" applyAlignment="1" applyProtection="1">
      <alignment horizontal="center"/>
      <protection locked="0"/>
    </xf>
    <xf numFmtId="0" fontId="0" fillId="35" borderId="0" xfId="0" applyFont="1" applyFill="1" applyAlignment="1" applyProtection="1">
      <alignment/>
      <protection locked="0"/>
    </xf>
    <xf numFmtId="0" fontId="2" fillId="33" borderId="39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 locked="0"/>
    </xf>
    <xf numFmtId="0" fontId="2" fillId="37" borderId="12" xfId="0" applyFont="1" applyFill="1" applyBorder="1" applyAlignment="1" applyProtection="1">
      <alignment/>
      <protection locked="0"/>
    </xf>
    <xf numFmtId="0" fontId="2" fillId="35" borderId="0" xfId="0" applyFont="1" applyFill="1" applyBorder="1" applyAlignment="1" applyProtection="1">
      <alignment/>
      <protection/>
    </xf>
    <xf numFmtId="0" fontId="38" fillId="41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41" xfId="0" applyFont="1" applyFill="1" applyBorder="1" applyAlignment="1" applyProtection="1">
      <alignment horizontal="center"/>
      <protection locked="0"/>
    </xf>
    <xf numFmtId="0" fontId="0" fillId="0" borderId="42" xfId="0" applyFont="1" applyFill="1" applyBorder="1" applyAlignment="1" applyProtection="1">
      <alignment horizontal="center"/>
      <protection locked="0"/>
    </xf>
    <xf numFmtId="14" fontId="1" fillId="35" borderId="10" xfId="0" applyNumberFormat="1" applyFont="1" applyFill="1" applyBorder="1" applyAlignment="1" applyProtection="1">
      <alignment horizontal="center"/>
      <protection locked="0"/>
    </xf>
    <xf numFmtId="0" fontId="0" fillId="35" borderId="40" xfId="0" applyFont="1" applyFill="1" applyBorder="1" applyAlignment="1" applyProtection="1">
      <alignment horizontal="center"/>
      <protection locked="0"/>
    </xf>
    <xf numFmtId="0" fontId="0" fillId="35" borderId="38" xfId="0" applyFont="1" applyFill="1" applyBorder="1" applyAlignment="1" applyProtection="1">
      <alignment horizontal="center"/>
      <protection locked="0"/>
    </xf>
    <xf numFmtId="0" fontId="0" fillId="35" borderId="21" xfId="0" applyFont="1" applyFill="1" applyBorder="1" applyAlignment="1" applyProtection="1">
      <alignment horizontal="center"/>
      <protection locked="0"/>
    </xf>
    <xf numFmtId="0" fontId="0" fillId="35" borderId="43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35" borderId="44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>
      <alignment horizontal="center"/>
    </xf>
    <xf numFmtId="0" fontId="0" fillId="35" borderId="46" xfId="0" applyFont="1" applyFill="1" applyBorder="1" applyAlignment="1" applyProtection="1">
      <alignment/>
      <protection locked="0"/>
    </xf>
    <xf numFmtId="0" fontId="0" fillId="35" borderId="27" xfId="0" applyFont="1" applyFill="1" applyBorder="1" applyAlignment="1" applyProtection="1">
      <alignment horizontal="center" vertical="center"/>
      <protection locked="0"/>
    </xf>
    <xf numFmtId="0" fontId="0" fillId="35" borderId="29" xfId="0" applyFont="1" applyFill="1" applyBorder="1" applyAlignment="1" applyProtection="1">
      <alignment/>
      <protection locked="0"/>
    </xf>
    <xf numFmtId="0" fontId="0" fillId="35" borderId="47" xfId="0" applyFont="1" applyFill="1" applyBorder="1" applyAlignment="1" applyProtection="1">
      <alignment/>
      <protection locked="0"/>
    </xf>
    <xf numFmtId="0" fontId="2" fillId="35" borderId="15" xfId="0" applyFont="1" applyFill="1" applyBorder="1" applyAlignment="1" applyProtection="1">
      <alignment horizontal="center"/>
      <protection locked="0"/>
    </xf>
    <xf numFmtId="0" fontId="2" fillId="35" borderId="48" xfId="0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/>
      <protection locked="0"/>
    </xf>
    <xf numFmtId="169" fontId="0" fillId="35" borderId="27" xfId="0" applyNumberFormat="1" applyFont="1" applyFill="1" applyBorder="1" applyAlignment="1" applyProtection="1">
      <alignment horizontal="center" vertical="center"/>
      <protection locked="0"/>
    </xf>
    <xf numFmtId="174" fontId="0" fillId="35" borderId="49" xfId="0" applyNumberFormat="1" applyFont="1" applyFill="1" applyBorder="1" applyAlignment="1" applyProtection="1">
      <alignment horizontal="center" vertical="center"/>
      <protection locked="0"/>
    </xf>
    <xf numFmtId="169" fontId="2" fillId="0" borderId="0" xfId="0" applyNumberFormat="1" applyFont="1" applyBorder="1" applyAlignment="1">
      <alignment/>
    </xf>
    <xf numFmtId="174" fontId="0" fillId="35" borderId="50" xfId="0" applyNumberFormat="1" applyFont="1" applyFill="1" applyBorder="1" applyAlignment="1" applyProtection="1">
      <alignment horizontal="center" vertical="center"/>
      <protection locked="0"/>
    </xf>
    <xf numFmtId="176" fontId="0" fillId="35" borderId="15" xfId="0" applyNumberFormat="1" applyFont="1" applyFill="1" applyBorder="1" applyAlignment="1" applyProtection="1">
      <alignment horizontal="center" vertical="center"/>
      <protection locked="0"/>
    </xf>
    <xf numFmtId="174" fontId="0" fillId="35" borderId="15" xfId="0" applyNumberFormat="1" applyFont="1" applyFill="1" applyBorder="1" applyAlignment="1" applyProtection="1">
      <alignment horizontal="center" vertical="center"/>
      <protection locked="0"/>
    </xf>
    <xf numFmtId="174" fontId="0" fillId="35" borderId="47" xfId="0" applyNumberFormat="1" applyFont="1" applyFill="1" applyBorder="1" applyAlignment="1" applyProtection="1">
      <alignment horizontal="center" vertical="center"/>
      <protection locked="0"/>
    </xf>
    <xf numFmtId="0" fontId="0" fillId="35" borderId="46" xfId="0" applyNumberFormat="1" applyFont="1" applyFill="1" applyBorder="1" applyAlignment="1" applyProtection="1">
      <alignment horizontal="center" vertical="center"/>
      <protection locked="0"/>
    </xf>
    <xf numFmtId="173" fontId="0" fillId="35" borderId="15" xfId="0" applyNumberFormat="1" applyFont="1" applyFill="1" applyBorder="1" applyAlignment="1" applyProtection="1">
      <alignment horizontal="center" vertical="center"/>
      <protection locked="0"/>
    </xf>
    <xf numFmtId="169" fontId="0" fillId="35" borderId="15" xfId="0" applyNumberFormat="1" applyFont="1" applyFill="1" applyBorder="1" applyAlignment="1" applyProtection="1">
      <alignment horizontal="center" vertical="center"/>
      <protection locked="0"/>
    </xf>
    <xf numFmtId="20" fontId="0" fillId="35" borderId="11" xfId="0" applyNumberFormat="1" applyFont="1" applyFill="1" applyBorder="1" applyAlignment="1" applyProtection="1">
      <alignment horizontal="center" vertical="center"/>
      <protection locked="0"/>
    </xf>
    <xf numFmtId="20" fontId="0" fillId="35" borderId="27" xfId="0" applyNumberFormat="1" applyFont="1" applyFill="1" applyBorder="1" applyAlignment="1" applyProtection="1">
      <alignment horizontal="center" vertical="center"/>
      <protection locked="0"/>
    </xf>
    <xf numFmtId="0" fontId="0" fillId="35" borderId="16" xfId="0" applyFont="1" applyFill="1" applyBorder="1" applyAlignment="1" applyProtection="1">
      <alignment horizontal="center" vertical="center"/>
      <protection locked="0"/>
    </xf>
    <xf numFmtId="177" fontId="0" fillId="35" borderId="16" xfId="0" applyNumberFormat="1" applyFont="1" applyFill="1" applyBorder="1" applyAlignment="1" applyProtection="1">
      <alignment horizontal="center" vertical="center"/>
      <protection locked="0"/>
    </xf>
    <xf numFmtId="174" fontId="0" fillId="35" borderId="16" xfId="0" applyNumberFormat="1" applyFont="1" applyFill="1" applyBorder="1" applyAlignment="1" applyProtection="1">
      <alignment horizontal="center" vertical="center"/>
      <protection locked="0"/>
    </xf>
    <xf numFmtId="174" fontId="0" fillId="35" borderId="29" xfId="0" applyNumberFormat="1" applyFont="1" applyFill="1" applyBorder="1" applyAlignment="1" applyProtection="1">
      <alignment horizontal="center" vertical="center"/>
      <protection locked="0"/>
    </xf>
    <xf numFmtId="174" fontId="0" fillId="35" borderId="51" xfId="0" applyNumberFormat="1" applyFont="1" applyFill="1" applyBorder="1" applyAlignment="1" applyProtection="1">
      <alignment horizontal="center" vertical="center"/>
      <protection locked="0"/>
    </xf>
    <xf numFmtId="176" fontId="0" fillId="35" borderId="23" xfId="0" applyNumberFormat="1" applyFont="1" applyFill="1" applyBorder="1" applyAlignment="1" applyProtection="1">
      <alignment horizontal="center" vertical="center"/>
      <protection locked="0"/>
    </xf>
    <xf numFmtId="37" fontId="0" fillId="35" borderId="23" xfId="0" applyNumberFormat="1" applyFont="1" applyFill="1" applyBorder="1" applyAlignment="1" applyProtection="1">
      <alignment horizontal="center" vertical="center"/>
      <protection locked="0"/>
    </xf>
    <xf numFmtId="173" fontId="0" fillId="35" borderId="23" xfId="0" applyNumberFormat="1" applyFont="1" applyFill="1" applyBorder="1" applyAlignment="1" applyProtection="1">
      <alignment horizontal="center" vertical="center"/>
      <protection locked="0"/>
    </xf>
    <xf numFmtId="0" fontId="0" fillId="35" borderId="23" xfId="0" applyFont="1" applyFill="1" applyBorder="1" applyAlignment="1" applyProtection="1">
      <alignment horizontal="center" vertical="center"/>
      <protection locked="0"/>
    </xf>
    <xf numFmtId="0" fontId="0" fillId="35" borderId="52" xfId="0" applyFont="1" applyFill="1" applyBorder="1" applyAlignment="1" applyProtection="1">
      <alignment horizontal="center" vertical="center"/>
      <protection locked="0"/>
    </xf>
    <xf numFmtId="177" fontId="0" fillId="35" borderId="52" xfId="0" applyNumberFormat="1" applyFont="1" applyFill="1" applyBorder="1" applyAlignment="1" applyProtection="1">
      <alignment horizontal="center" vertical="center"/>
      <protection locked="0"/>
    </xf>
    <xf numFmtId="169" fontId="0" fillId="35" borderId="53" xfId="0" applyNumberFormat="1" applyFont="1" applyFill="1" applyBorder="1" applyAlignment="1" applyProtection="1">
      <alignment horizontal="center" vertical="center"/>
      <protection locked="0"/>
    </xf>
    <xf numFmtId="174" fontId="0" fillId="35" borderId="54" xfId="0" applyNumberFormat="1" applyFont="1" applyFill="1" applyBorder="1" applyAlignment="1" applyProtection="1">
      <alignment horizontal="center" vertical="center"/>
      <protection locked="0"/>
    </xf>
    <xf numFmtId="176" fontId="0" fillId="35" borderId="52" xfId="0" applyNumberFormat="1" applyFont="1" applyFill="1" applyBorder="1" applyAlignment="1" applyProtection="1">
      <alignment horizontal="center" vertical="center"/>
      <protection locked="0"/>
    </xf>
    <xf numFmtId="174" fontId="0" fillId="35" borderId="52" xfId="0" applyNumberFormat="1" applyFont="1" applyFill="1" applyBorder="1" applyAlignment="1" applyProtection="1">
      <alignment horizontal="center" vertical="center"/>
      <protection locked="0"/>
    </xf>
    <xf numFmtId="174" fontId="0" fillId="35" borderId="53" xfId="0" applyNumberFormat="1" applyFont="1" applyFill="1" applyBorder="1" applyAlignment="1" applyProtection="1">
      <alignment horizontal="center" vertical="center"/>
      <protection locked="0"/>
    </xf>
    <xf numFmtId="0" fontId="0" fillId="0" borderId="55" xfId="0" applyFont="1" applyFill="1" applyBorder="1" applyAlignment="1" applyProtection="1">
      <alignment horizontal="center" vertical="center"/>
      <protection/>
    </xf>
    <xf numFmtId="37" fontId="0" fillId="0" borderId="56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Border="1" applyAlignment="1" applyProtection="1">
      <alignment horizontal="center"/>
      <protection/>
    </xf>
    <xf numFmtId="183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>
      <alignment horizontal="center"/>
    </xf>
    <xf numFmtId="182" fontId="0" fillId="0" borderId="0" xfId="0" applyNumberFormat="1" applyFont="1" applyFill="1" applyBorder="1" applyAlignment="1">
      <alignment horizontal="center"/>
    </xf>
    <xf numFmtId="182" fontId="0" fillId="0" borderId="0" xfId="0" applyNumberFormat="1" applyFont="1" applyFill="1" applyBorder="1" applyAlignment="1">
      <alignment/>
    </xf>
    <xf numFmtId="20" fontId="0" fillId="35" borderId="5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174" fontId="18" fillId="0" borderId="0" xfId="0" applyNumberFormat="1" applyFont="1" applyFill="1" applyBorder="1" applyAlignment="1" applyProtection="1">
      <alignment/>
      <protection/>
    </xf>
    <xf numFmtId="174" fontId="0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179" fontId="0" fillId="0" borderId="0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 horizontal="center"/>
      <protection/>
    </xf>
    <xf numFmtId="169" fontId="0" fillId="0" borderId="0" xfId="0" applyNumberFormat="1" applyFont="1" applyFill="1" applyBorder="1" applyAlignment="1" applyProtection="1">
      <alignment horizontal="center" vertical="center"/>
      <protection locked="0"/>
    </xf>
    <xf numFmtId="169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173" fontId="0" fillId="0" borderId="0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Font="1" applyFill="1" applyBorder="1" applyAlignment="1" applyProtection="1">
      <alignment horizontal="center" vertical="center"/>
      <protection locked="0"/>
    </xf>
    <xf numFmtId="174" fontId="0" fillId="0" borderId="0" xfId="0" applyNumberFormat="1" applyFont="1" applyFill="1" applyBorder="1" applyAlignment="1" applyProtection="1">
      <alignment horizontal="center" vertical="center"/>
      <protection locked="0"/>
    </xf>
    <xf numFmtId="37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right" vertical="center"/>
    </xf>
    <xf numFmtId="20" fontId="0" fillId="0" borderId="58" xfId="0" applyNumberFormat="1" applyFont="1" applyFill="1" applyBorder="1" applyAlignment="1" applyProtection="1">
      <alignment horizontal="center" vertical="center"/>
      <protection locked="0"/>
    </xf>
    <xf numFmtId="174" fontId="0" fillId="35" borderId="59" xfId="0" applyNumberFormat="1" applyFont="1" applyFill="1" applyBorder="1" applyAlignment="1" applyProtection="1">
      <alignment horizontal="center" vertical="center"/>
      <protection locked="0"/>
    </xf>
    <xf numFmtId="20" fontId="0" fillId="35" borderId="60" xfId="0" applyNumberFormat="1" applyFont="1" applyFill="1" applyBorder="1" applyAlignment="1" applyProtection="1">
      <alignment horizontal="center" vertical="center"/>
      <protection locked="0"/>
    </xf>
    <xf numFmtId="174" fontId="0" fillId="35" borderId="61" xfId="0" applyNumberFormat="1" applyFont="1" applyFill="1" applyBorder="1" applyAlignment="1" applyProtection="1">
      <alignment horizontal="center" vertical="center"/>
      <protection locked="0"/>
    </xf>
    <xf numFmtId="174" fontId="0" fillId="35" borderId="62" xfId="0" applyNumberFormat="1" applyFont="1" applyFill="1" applyBorder="1" applyAlignment="1" applyProtection="1">
      <alignment horizontal="center" vertical="center"/>
      <protection locked="0"/>
    </xf>
    <xf numFmtId="174" fontId="0" fillId="35" borderId="63" xfId="0" applyNumberFormat="1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 applyProtection="1">
      <alignment horizontal="center"/>
      <protection/>
    </xf>
    <xf numFmtId="174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8" fontId="0" fillId="0" borderId="65" xfId="0" applyNumberFormat="1" applyFont="1" applyFill="1" applyBorder="1" applyAlignment="1" applyProtection="1">
      <alignment horizontal="center"/>
      <protection/>
    </xf>
    <xf numFmtId="0" fontId="0" fillId="0" borderId="65" xfId="0" applyFont="1" applyFill="1" applyBorder="1" applyAlignment="1" applyProtection="1">
      <alignment horizontal="center"/>
      <protection/>
    </xf>
    <xf numFmtId="174" fontId="1" fillId="0" borderId="0" xfId="0" applyNumberFormat="1" applyFont="1" applyFill="1" applyBorder="1" applyAlignment="1" applyProtection="1">
      <alignment horizontal="center"/>
      <protection/>
    </xf>
    <xf numFmtId="175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 vertical="center"/>
    </xf>
    <xf numFmtId="174" fontId="1" fillId="0" borderId="0" xfId="0" applyNumberFormat="1" applyFont="1" applyFill="1" applyBorder="1" applyAlignment="1" applyProtection="1">
      <alignment horizontal="center" vertical="center"/>
      <protection/>
    </xf>
    <xf numFmtId="175" fontId="0" fillId="0" borderId="0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 applyProtection="1">
      <alignment horizontal="center"/>
      <protection/>
    </xf>
    <xf numFmtId="14" fontId="0" fillId="35" borderId="10" xfId="0" applyNumberFormat="1" applyFont="1" applyFill="1" applyBorder="1" applyAlignment="1" applyProtection="1">
      <alignment horizontal="center"/>
      <protection locked="0"/>
    </xf>
    <xf numFmtId="14" fontId="0" fillId="0" borderId="66" xfId="0" applyNumberFormat="1" applyFont="1" applyFill="1" applyBorder="1" applyAlignment="1" applyProtection="1">
      <alignment horizontal="center"/>
      <protection/>
    </xf>
    <xf numFmtId="177" fontId="0" fillId="0" borderId="0" xfId="0" applyNumberFormat="1" applyFont="1" applyFill="1" applyBorder="1" applyAlignment="1" applyProtection="1">
      <alignment horizontal="center"/>
      <protection locked="0"/>
    </xf>
    <xf numFmtId="0" fontId="0" fillId="35" borderId="29" xfId="0" applyFont="1" applyFill="1" applyBorder="1" applyAlignment="1" applyProtection="1">
      <alignment horizontal="center" vertical="center"/>
      <protection locked="0"/>
    </xf>
    <xf numFmtId="0" fontId="0" fillId="35" borderId="39" xfId="0" applyFont="1" applyFill="1" applyBorder="1" applyAlignment="1" applyProtection="1">
      <alignment/>
      <protection locked="0"/>
    </xf>
    <xf numFmtId="0" fontId="0" fillId="35" borderId="67" xfId="0" applyFont="1" applyFill="1" applyBorder="1" applyAlignment="1" applyProtection="1">
      <alignment/>
      <protection locked="0"/>
    </xf>
    <xf numFmtId="177" fontId="0" fillId="35" borderId="23" xfId="0" applyNumberFormat="1" applyFont="1" applyFill="1" applyBorder="1" applyAlignment="1" applyProtection="1">
      <alignment horizontal="center" vertical="center"/>
      <protection locked="0"/>
    </xf>
    <xf numFmtId="0" fontId="0" fillId="35" borderId="68" xfId="0" applyFont="1" applyFill="1" applyBorder="1" applyAlignment="1" applyProtection="1">
      <alignment horizontal="center" vertical="center"/>
      <protection locked="0"/>
    </xf>
    <xf numFmtId="0" fontId="0" fillId="35" borderId="69" xfId="0" applyFont="1" applyFill="1" applyBorder="1" applyAlignment="1" applyProtection="1">
      <alignment horizontal="center" vertical="center"/>
      <protection locked="0"/>
    </xf>
    <xf numFmtId="0" fontId="0" fillId="35" borderId="47" xfId="0" applyFont="1" applyFill="1" applyBorder="1" applyAlignment="1" applyProtection="1">
      <alignment horizontal="center" vertical="center"/>
      <protection locked="0"/>
    </xf>
    <xf numFmtId="0" fontId="0" fillId="35" borderId="46" xfId="0" applyFont="1" applyFill="1" applyBorder="1" applyAlignment="1" applyProtection="1">
      <alignment horizontal="center" vertical="center"/>
      <protection locked="0"/>
    </xf>
    <xf numFmtId="0" fontId="0" fillId="35" borderId="70" xfId="0" applyFont="1" applyFill="1" applyBorder="1" applyAlignment="1" applyProtection="1">
      <alignment horizontal="center" vertical="center"/>
      <protection locked="0"/>
    </xf>
    <xf numFmtId="0" fontId="0" fillId="35" borderId="71" xfId="0" applyFont="1" applyFill="1" applyBorder="1" applyAlignment="1" applyProtection="1">
      <alignment horizontal="center" vertical="center"/>
      <protection locked="0"/>
    </xf>
    <xf numFmtId="0" fontId="0" fillId="35" borderId="72" xfId="0" applyFont="1" applyFill="1" applyBorder="1" applyAlignment="1" applyProtection="1">
      <alignment/>
      <protection locked="0"/>
    </xf>
    <xf numFmtId="0" fontId="0" fillId="35" borderId="73" xfId="0" applyFont="1" applyFill="1" applyBorder="1" applyAlignment="1" applyProtection="1">
      <alignment/>
      <protection locked="0"/>
    </xf>
    <xf numFmtId="0" fontId="0" fillId="35" borderId="74" xfId="0" applyFont="1" applyFill="1" applyBorder="1" applyAlignment="1" applyProtection="1">
      <alignment/>
      <protection locked="0"/>
    </xf>
    <xf numFmtId="0" fontId="0" fillId="35" borderId="75" xfId="0" applyFont="1" applyFill="1" applyBorder="1" applyAlignment="1" applyProtection="1">
      <alignment/>
      <protection locked="0"/>
    </xf>
    <xf numFmtId="0" fontId="0" fillId="35" borderId="57" xfId="0" applyFont="1" applyFill="1" applyBorder="1" applyAlignment="1" applyProtection="1">
      <alignment horizontal="center" vertical="center"/>
      <protection locked="0"/>
    </xf>
    <xf numFmtId="0" fontId="0" fillId="35" borderId="53" xfId="0" applyFont="1" applyFill="1" applyBorder="1" applyAlignment="1" applyProtection="1">
      <alignment horizontal="center" vertical="center"/>
      <protection locked="0"/>
    </xf>
    <xf numFmtId="0" fontId="0" fillId="35" borderId="76" xfId="0" applyFont="1" applyFill="1" applyBorder="1" applyAlignment="1" applyProtection="1">
      <alignment horizontal="center" vertical="center"/>
      <protection locked="0"/>
    </xf>
    <xf numFmtId="0" fontId="0" fillId="35" borderId="77" xfId="0" applyFont="1" applyFill="1" applyBorder="1" applyAlignment="1" applyProtection="1">
      <alignment horizontal="center" vertical="center"/>
      <protection locked="0"/>
    </xf>
    <xf numFmtId="0" fontId="0" fillId="35" borderId="18" xfId="0" applyFont="1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0" fontId="0" fillId="35" borderId="53" xfId="0" applyFont="1" applyFill="1" applyBorder="1" applyAlignment="1" applyProtection="1">
      <alignment/>
      <protection locked="0"/>
    </xf>
    <xf numFmtId="0" fontId="0" fillId="35" borderId="57" xfId="0" applyFont="1" applyFill="1" applyBorder="1" applyAlignment="1" applyProtection="1">
      <alignment/>
      <protection locked="0"/>
    </xf>
    <xf numFmtId="0" fontId="0" fillId="35" borderId="68" xfId="0" applyFont="1" applyFill="1" applyBorder="1" applyAlignment="1" applyProtection="1">
      <alignment/>
      <protection locked="0"/>
    </xf>
    <xf numFmtId="0" fontId="0" fillId="35" borderId="69" xfId="0" applyFont="1" applyFill="1" applyBorder="1" applyAlignment="1" applyProtection="1">
      <alignment/>
      <protection locked="0"/>
    </xf>
    <xf numFmtId="0" fontId="0" fillId="35" borderId="78" xfId="0" applyFont="1" applyFill="1" applyBorder="1" applyAlignment="1" applyProtection="1">
      <alignment/>
      <protection locked="0"/>
    </xf>
    <xf numFmtId="0" fontId="0" fillId="35" borderId="79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 locked="0"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0" fontId="1" fillId="35" borderId="8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81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178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6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175" fontId="0" fillId="35" borderId="10" xfId="0" applyNumberFormat="1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0" fontId="1" fillId="35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 vertical="center" textRotation="180"/>
      <protection/>
    </xf>
    <xf numFmtId="0" fontId="1" fillId="0" borderId="0" xfId="0" applyFont="1" applyFill="1" applyBorder="1" applyAlignment="1">
      <alignment/>
    </xf>
    <xf numFmtId="178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72" xfId="0" applyFont="1" applyFill="1" applyBorder="1" applyAlignment="1" applyProtection="1">
      <alignment vertical="center"/>
      <protection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0" fontId="0" fillId="0" borderId="84" xfId="0" applyFont="1" applyFill="1" applyBorder="1" applyAlignment="1" applyProtection="1">
      <alignment vertical="center"/>
      <protection/>
    </xf>
    <xf numFmtId="0" fontId="1" fillId="0" borderId="28" xfId="0" applyFont="1" applyFill="1" applyBorder="1" applyAlignment="1" applyProtection="1">
      <alignment vertical="center"/>
      <protection/>
    </xf>
    <xf numFmtId="0" fontId="0" fillId="0" borderId="85" xfId="0" applyFont="1" applyFill="1" applyBorder="1" applyAlignment="1" applyProtection="1">
      <alignment vertical="center"/>
      <protection/>
    </xf>
    <xf numFmtId="0" fontId="2" fillId="35" borderId="46" xfId="0" applyFont="1" applyFill="1" applyBorder="1" applyAlignment="1" applyProtection="1">
      <alignment horizontal="center" vertical="center"/>
      <protection locked="0"/>
    </xf>
    <xf numFmtId="0" fontId="0" fillId="35" borderId="3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0" fillId="0" borderId="86" xfId="0" applyFont="1" applyFill="1" applyBorder="1" applyAlignment="1" applyProtection="1">
      <alignment horizontal="center"/>
      <protection locked="0"/>
    </xf>
    <xf numFmtId="0" fontId="0" fillId="0" borderId="39" xfId="0" applyFont="1" applyFill="1" applyBorder="1" applyAlignment="1" applyProtection="1">
      <alignment horizontal="center"/>
      <protection locked="0"/>
    </xf>
    <xf numFmtId="0" fontId="0" fillId="0" borderId="87" xfId="0" applyFont="1" applyFill="1" applyBorder="1" applyAlignment="1" applyProtection="1">
      <alignment horizontal="center"/>
      <protection locked="0"/>
    </xf>
    <xf numFmtId="0" fontId="0" fillId="35" borderId="42" xfId="0" applyFont="1" applyFill="1" applyBorder="1" applyAlignment="1" applyProtection="1">
      <alignment horizontal="center"/>
      <protection locked="0"/>
    </xf>
    <xf numFmtId="0" fontId="2" fillId="35" borderId="30" xfId="0" applyFont="1" applyFill="1" applyBorder="1" applyAlignment="1" applyProtection="1">
      <alignment/>
      <protection locked="0"/>
    </xf>
    <xf numFmtId="0" fontId="1" fillId="0" borderId="88" xfId="0" applyFont="1" applyFill="1" applyBorder="1" applyAlignment="1" applyProtection="1">
      <alignment horizontal="center" vertical="center"/>
      <protection/>
    </xf>
    <xf numFmtId="0" fontId="1" fillId="0" borderId="89" xfId="0" applyFont="1" applyFill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center"/>
      <protection locked="0"/>
    </xf>
    <xf numFmtId="1" fontId="0" fillId="35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/>
    </xf>
    <xf numFmtId="1" fontId="1" fillId="0" borderId="67" xfId="0" applyNumberFormat="1" applyFont="1" applyFill="1" applyBorder="1" applyAlignment="1" applyProtection="1">
      <alignment horizontal="center"/>
      <protection/>
    </xf>
    <xf numFmtId="0" fontId="0" fillId="38" borderId="0" xfId="0" applyFill="1" applyAlignment="1" applyProtection="1">
      <alignment/>
      <protection/>
    </xf>
    <xf numFmtId="0" fontId="3" fillId="42" borderId="90" xfId="0" applyFont="1" applyFill="1" applyBorder="1" applyAlignment="1" applyProtection="1">
      <alignment/>
      <protection/>
    </xf>
    <xf numFmtId="0" fontId="0" fillId="42" borderId="91" xfId="0" applyFont="1" applyFill="1" applyBorder="1" applyAlignment="1" applyProtection="1">
      <alignment/>
      <protection/>
    </xf>
    <xf numFmtId="0" fontId="0" fillId="42" borderId="91" xfId="0" applyFill="1" applyBorder="1" applyAlignment="1" applyProtection="1">
      <alignment/>
      <protection/>
    </xf>
    <xf numFmtId="0" fontId="0" fillId="42" borderId="92" xfId="0" applyFill="1" applyBorder="1" applyAlignment="1" applyProtection="1">
      <alignment/>
      <protection/>
    </xf>
    <xf numFmtId="0" fontId="8" fillId="38" borderId="0" xfId="0" applyFont="1" applyFill="1" applyBorder="1" applyAlignment="1" applyProtection="1">
      <alignment/>
      <protection/>
    </xf>
    <xf numFmtId="0" fontId="0" fillId="42" borderId="21" xfId="0" applyFont="1" applyFill="1" applyBorder="1" applyAlignment="1" applyProtection="1">
      <alignment horizontal="right"/>
      <protection/>
    </xf>
    <xf numFmtId="0" fontId="0" fillId="42" borderId="0" xfId="0" applyFont="1" applyFill="1" applyBorder="1" applyAlignment="1" applyProtection="1">
      <alignment horizontal="center"/>
      <protection/>
    </xf>
    <xf numFmtId="0" fontId="0" fillId="42" borderId="10" xfId="0" applyFont="1" applyFill="1" applyBorder="1" applyAlignment="1" applyProtection="1">
      <alignment/>
      <protection/>
    </xf>
    <xf numFmtId="0" fontId="0" fillId="36" borderId="93" xfId="0" applyFont="1" applyFill="1" applyBorder="1" applyAlignment="1" applyProtection="1">
      <alignment/>
      <protection/>
    </xf>
    <xf numFmtId="0" fontId="0" fillId="42" borderId="94" xfId="0" applyFill="1" applyBorder="1" applyAlignment="1" applyProtection="1">
      <alignment/>
      <protection/>
    </xf>
    <xf numFmtId="0" fontId="0" fillId="38" borderId="0" xfId="0" applyFont="1" applyFill="1" applyBorder="1" applyAlignment="1" applyProtection="1">
      <alignment/>
      <protection/>
    </xf>
    <xf numFmtId="0" fontId="0" fillId="42" borderId="0" xfId="0" applyFont="1" applyFill="1" applyBorder="1" applyAlignment="1" applyProtection="1">
      <alignment/>
      <protection/>
    </xf>
    <xf numFmtId="0" fontId="0" fillId="36" borderId="84" xfId="0" applyFont="1" applyFill="1" applyBorder="1" applyAlignment="1" applyProtection="1">
      <alignment/>
      <protection/>
    </xf>
    <xf numFmtId="0" fontId="0" fillId="35" borderId="84" xfId="0" applyFill="1" applyBorder="1" applyAlignment="1" applyProtection="1">
      <alignment/>
      <protection/>
    </xf>
    <xf numFmtId="0" fontId="1" fillId="0" borderId="24" xfId="0" applyFont="1" applyBorder="1" applyAlignment="1" applyProtection="1">
      <alignment horizontal="center"/>
      <protection/>
    </xf>
    <xf numFmtId="0" fontId="0" fillId="38" borderId="0" xfId="0" applyFill="1" applyBorder="1" applyAlignment="1" applyProtection="1">
      <alignment/>
      <protection/>
    </xf>
    <xf numFmtId="0" fontId="0" fillId="42" borderId="10" xfId="0" applyFill="1" applyBorder="1" applyAlignment="1" applyProtection="1">
      <alignment horizontal="right"/>
      <protection/>
    </xf>
    <xf numFmtId="0" fontId="0" fillId="42" borderId="0" xfId="0" applyFill="1" applyBorder="1" applyAlignment="1" applyProtection="1">
      <alignment/>
      <protection/>
    </xf>
    <xf numFmtId="0" fontId="0" fillId="35" borderId="84" xfId="0" applyFont="1" applyFill="1" applyBorder="1" applyAlignment="1" applyProtection="1">
      <alignment/>
      <protection/>
    </xf>
    <xf numFmtId="0" fontId="0" fillId="42" borderId="95" xfId="0" applyFill="1" applyBorder="1" applyAlignment="1" applyProtection="1">
      <alignment/>
      <protection/>
    </xf>
    <xf numFmtId="0" fontId="2" fillId="42" borderId="95" xfId="0" applyFont="1" applyFill="1" applyBorder="1" applyAlignment="1" applyProtection="1">
      <alignment/>
      <protection/>
    </xf>
    <xf numFmtId="0" fontId="2" fillId="42" borderId="0" xfId="0" applyFont="1" applyFill="1" applyBorder="1" applyAlignment="1" applyProtection="1">
      <alignment/>
      <protection/>
    </xf>
    <xf numFmtId="0" fontId="2" fillId="42" borderId="94" xfId="0" applyFont="1" applyFill="1" applyBorder="1" applyAlignment="1" applyProtection="1">
      <alignment/>
      <protection/>
    </xf>
    <xf numFmtId="0" fontId="2" fillId="38" borderId="0" xfId="0" applyFont="1" applyFill="1" applyAlignment="1" applyProtection="1">
      <alignment/>
      <protection/>
    </xf>
    <xf numFmtId="0" fontId="2" fillId="42" borderId="96" xfId="0" applyFont="1" applyFill="1" applyBorder="1" applyAlignment="1" applyProtection="1">
      <alignment/>
      <protection/>
    </xf>
    <xf numFmtId="0" fontId="2" fillId="42" borderId="84" xfId="0" applyFont="1" applyFill="1" applyBorder="1" applyAlignment="1" applyProtection="1">
      <alignment/>
      <protection/>
    </xf>
    <xf numFmtId="0" fontId="0" fillId="38" borderId="0" xfId="0" applyFont="1" applyFill="1" applyAlignment="1" applyProtection="1">
      <alignment/>
      <protection/>
    </xf>
    <xf numFmtId="0" fontId="0" fillId="42" borderId="97" xfId="0" applyFill="1" applyBorder="1" applyAlignment="1" applyProtection="1">
      <alignment/>
      <protection/>
    </xf>
    <xf numFmtId="0" fontId="0" fillId="42" borderId="98" xfId="0" applyFill="1" applyBorder="1" applyAlignment="1" applyProtection="1">
      <alignment/>
      <protection/>
    </xf>
    <xf numFmtId="0" fontId="3" fillId="33" borderId="90" xfId="0" applyFont="1" applyFill="1" applyBorder="1" applyAlignment="1" applyProtection="1">
      <alignment/>
      <protection/>
    </xf>
    <xf numFmtId="0" fontId="0" fillId="33" borderId="91" xfId="0" applyFont="1" applyFill="1" applyBorder="1" applyAlignment="1" applyProtection="1">
      <alignment/>
      <protection/>
    </xf>
    <xf numFmtId="0" fontId="0" fillId="33" borderId="91" xfId="0" applyFill="1" applyBorder="1" applyAlignment="1" applyProtection="1">
      <alignment/>
      <protection/>
    </xf>
    <xf numFmtId="0" fontId="0" fillId="33" borderId="92" xfId="0" applyFill="1" applyBorder="1" applyAlignment="1" applyProtection="1">
      <alignment/>
      <protection/>
    </xf>
    <xf numFmtId="0" fontId="0" fillId="33" borderId="99" xfId="0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0" fontId="0" fillId="33" borderId="94" xfId="0" applyFill="1" applyBorder="1" applyAlignment="1" applyProtection="1">
      <alignment/>
      <protection/>
    </xf>
    <xf numFmtId="0" fontId="0" fillId="33" borderId="95" xfId="0" applyFont="1" applyFill="1" applyBorder="1" applyAlignment="1" applyProtection="1">
      <alignment horizontal="right"/>
      <protection/>
    </xf>
    <xf numFmtId="0" fontId="2" fillId="33" borderId="94" xfId="0" applyFont="1" applyFill="1" applyBorder="1" applyAlignment="1" applyProtection="1">
      <alignment/>
      <protection/>
    </xf>
    <xf numFmtId="0" fontId="0" fillId="33" borderId="100" xfId="0" applyFont="1" applyFill="1" applyBorder="1" applyAlignment="1" applyProtection="1">
      <alignment horizontal="right"/>
      <protection/>
    </xf>
    <xf numFmtId="0" fontId="0" fillId="33" borderId="21" xfId="0" applyFont="1" applyFill="1" applyBorder="1" applyAlignment="1" applyProtection="1">
      <alignment horizontal="right"/>
      <protection/>
    </xf>
    <xf numFmtId="0" fontId="0" fillId="33" borderId="101" xfId="0" applyFill="1" applyBorder="1" applyAlignment="1" applyProtection="1">
      <alignment/>
      <protection/>
    </xf>
    <xf numFmtId="0" fontId="0" fillId="33" borderId="97" xfId="0" applyFill="1" applyBorder="1" applyAlignment="1" applyProtection="1">
      <alignment/>
      <protection/>
    </xf>
    <xf numFmtId="0" fontId="0" fillId="33" borderId="98" xfId="0" applyFill="1" applyBorder="1" applyAlignment="1" applyProtection="1">
      <alignment/>
      <protection/>
    </xf>
    <xf numFmtId="0" fontId="3" fillId="43" borderId="95" xfId="0" applyFont="1" applyFill="1" applyBorder="1" applyAlignment="1" applyProtection="1">
      <alignment/>
      <protection/>
    </xf>
    <xf numFmtId="0" fontId="0" fillId="43" borderId="0" xfId="0" applyFont="1" applyFill="1" applyBorder="1" applyAlignment="1" applyProtection="1">
      <alignment/>
      <protection/>
    </xf>
    <xf numFmtId="0" fontId="0" fillId="43" borderId="0" xfId="0" applyFill="1" applyBorder="1" applyAlignment="1" applyProtection="1">
      <alignment/>
      <protection/>
    </xf>
    <xf numFmtId="0" fontId="0" fillId="43" borderId="94" xfId="0" applyFill="1" applyBorder="1" applyAlignment="1" applyProtection="1">
      <alignment/>
      <protection/>
    </xf>
    <xf numFmtId="0" fontId="0" fillId="43" borderId="102" xfId="0" applyFont="1" applyFill="1" applyBorder="1" applyAlignment="1" applyProtection="1">
      <alignment horizontal="right"/>
      <protection/>
    </xf>
    <xf numFmtId="0" fontId="0" fillId="43" borderId="0" xfId="0" applyFill="1" applyBorder="1" applyAlignment="1" applyProtection="1">
      <alignment/>
      <protection/>
    </xf>
    <xf numFmtId="0" fontId="0" fillId="43" borderId="95" xfId="0" applyFont="1" applyFill="1" applyBorder="1" applyAlignment="1" applyProtection="1">
      <alignment horizontal="right"/>
      <protection/>
    </xf>
    <xf numFmtId="0" fontId="0" fillId="43" borderId="103" xfId="0" applyFont="1" applyFill="1" applyBorder="1" applyAlignment="1" applyProtection="1">
      <alignment horizontal="right"/>
      <protection/>
    </xf>
    <xf numFmtId="0" fontId="0" fillId="43" borderId="95" xfId="0" applyFont="1" applyFill="1" applyBorder="1" applyAlignment="1" applyProtection="1">
      <alignment/>
      <protection/>
    </xf>
    <xf numFmtId="0" fontId="0" fillId="43" borderId="101" xfId="0" applyFill="1" applyBorder="1" applyAlignment="1" applyProtection="1">
      <alignment/>
      <protection/>
    </xf>
    <xf numFmtId="0" fontId="0" fillId="43" borderId="97" xfId="0" applyFill="1" applyBorder="1" applyAlignment="1" applyProtection="1">
      <alignment/>
      <protection/>
    </xf>
    <xf numFmtId="0" fontId="0" fillId="43" borderId="98" xfId="0" applyFill="1" applyBorder="1" applyAlignment="1" applyProtection="1">
      <alignment/>
      <protection/>
    </xf>
    <xf numFmtId="0" fontId="3" fillId="44" borderId="90" xfId="0" applyFont="1" applyFill="1" applyBorder="1" applyAlignment="1" applyProtection="1">
      <alignment/>
      <protection/>
    </xf>
    <xf numFmtId="0" fontId="2" fillId="44" borderId="91" xfId="0" applyFont="1" applyFill="1" applyBorder="1" applyAlignment="1" applyProtection="1">
      <alignment/>
      <protection/>
    </xf>
    <xf numFmtId="0" fontId="0" fillId="44" borderId="92" xfId="0" applyFill="1" applyBorder="1" applyAlignment="1" applyProtection="1">
      <alignment/>
      <protection/>
    </xf>
    <xf numFmtId="0" fontId="0" fillId="44" borderId="94" xfId="0" applyFill="1" applyBorder="1" applyAlignment="1" applyProtection="1">
      <alignment/>
      <protection/>
    </xf>
    <xf numFmtId="0" fontId="0" fillId="44" borderId="94" xfId="0" applyFont="1" applyFill="1" applyBorder="1" applyAlignment="1" applyProtection="1">
      <alignment/>
      <protection/>
    </xf>
    <xf numFmtId="0" fontId="0" fillId="44" borderId="101" xfId="0" applyFill="1" applyBorder="1" applyAlignment="1" applyProtection="1">
      <alignment/>
      <protection/>
    </xf>
    <xf numFmtId="0" fontId="0" fillId="44" borderId="97" xfId="0" applyFill="1" applyBorder="1" applyAlignment="1" applyProtection="1">
      <alignment/>
      <protection/>
    </xf>
    <xf numFmtId="0" fontId="0" fillId="44" borderId="98" xfId="0" applyFont="1" applyFill="1" applyBorder="1" applyAlignment="1" applyProtection="1">
      <alignment/>
      <protection/>
    </xf>
    <xf numFmtId="0" fontId="3" fillId="37" borderId="95" xfId="0" applyFont="1" applyFill="1" applyBorder="1" applyAlignment="1" applyProtection="1">
      <alignment/>
      <protection/>
    </xf>
    <xf numFmtId="0" fontId="0" fillId="37" borderId="0" xfId="0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0" fillId="37" borderId="94" xfId="0" applyFill="1" applyBorder="1" applyAlignment="1" applyProtection="1">
      <alignment/>
      <protection/>
    </xf>
    <xf numFmtId="0" fontId="0" fillId="37" borderId="99" xfId="0" applyFont="1" applyFill="1" applyBorder="1" applyAlignment="1" applyProtection="1">
      <alignment horizontal="right"/>
      <protection/>
    </xf>
    <xf numFmtId="0" fontId="0" fillId="37" borderId="10" xfId="0" applyFill="1" applyBorder="1" applyAlignment="1" applyProtection="1">
      <alignment horizontal="center"/>
      <protection/>
    </xf>
    <xf numFmtId="0" fontId="0" fillId="37" borderId="95" xfId="0" applyFont="1" applyFill="1" applyBorder="1" applyAlignment="1" applyProtection="1">
      <alignment/>
      <protection/>
    </xf>
    <xf numFmtId="0" fontId="0" fillId="37" borderId="100" xfId="0" applyFont="1" applyFill="1" applyBorder="1" applyAlignment="1" applyProtection="1">
      <alignment/>
      <protection/>
    </xf>
    <xf numFmtId="0" fontId="0" fillId="37" borderId="95" xfId="0" applyFont="1" applyFill="1" applyBorder="1" applyAlignment="1" applyProtection="1">
      <alignment horizontal="right"/>
      <protection/>
    </xf>
    <xf numFmtId="0" fontId="0" fillId="37" borderId="104" xfId="0" applyNumberFormat="1" applyFont="1" applyFill="1" applyBorder="1" applyAlignment="1" applyProtection="1">
      <alignment horizontal="center"/>
      <protection/>
    </xf>
    <xf numFmtId="0" fontId="0" fillId="37" borderId="26" xfId="0" applyFill="1" applyBorder="1" applyAlignment="1" applyProtection="1">
      <alignment horizontal="center"/>
      <protection/>
    </xf>
    <xf numFmtId="0" fontId="0" fillId="37" borderId="15" xfId="0" applyFill="1" applyBorder="1" applyAlignment="1" applyProtection="1">
      <alignment horizontal="center"/>
      <protection/>
    </xf>
    <xf numFmtId="0" fontId="0" fillId="37" borderId="105" xfId="0" applyFont="1" applyFill="1" applyBorder="1" applyAlignment="1" applyProtection="1">
      <alignment horizontal="center"/>
      <protection/>
    </xf>
    <xf numFmtId="0" fontId="1" fillId="37" borderId="14" xfId="0" applyFont="1" applyFill="1" applyBorder="1" applyAlignment="1" applyProtection="1">
      <alignment horizontal="center"/>
      <protection/>
    </xf>
    <xf numFmtId="0" fontId="0" fillId="37" borderId="27" xfId="0" applyFont="1" applyFill="1" applyBorder="1" applyAlignment="1" applyProtection="1">
      <alignment horizontal="center"/>
      <protection/>
    </xf>
    <xf numFmtId="0" fontId="1" fillId="37" borderId="0" xfId="0" applyFont="1" applyFill="1" applyBorder="1" applyAlignment="1" applyProtection="1">
      <alignment horizontal="center"/>
      <protection/>
    </xf>
    <xf numFmtId="0" fontId="1" fillId="37" borderId="13" xfId="0" applyFont="1" applyFill="1" applyBorder="1" applyAlignment="1" applyProtection="1">
      <alignment horizontal="center"/>
      <protection/>
    </xf>
    <xf numFmtId="0" fontId="0" fillId="37" borderId="94" xfId="0" applyFont="1" applyFill="1" applyBorder="1" applyAlignment="1" applyProtection="1">
      <alignment/>
      <protection/>
    </xf>
    <xf numFmtId="0" fontId="0" fillId="37" borderId="22" xfId="0" applyFont="1" applyFill="1" applyBorder="1" applyAlignment="1" applyProtection="1">
      <alignment horizontal="right"/>
      <protection/>
    </xf>
    <xf numFmtId="0" fontId="0" fillId="37" borderId="106" xfId="0" applyFont="1" applyFill="1" applyBorder="1" applyAlignment="1" applyProtection="1">
      <alignment horizontal="right"/>
      <protection/>
    </xf>
    <xf numFmtId="0" fontId="0" fillId="37" borderId="97" xfId="0" applyFont="1" applyFill="1" applyBorder="1" applyAlignment="1" applyProtection="1">
      <alignment/>
      <protection/>
    </xf>
    <xf numFmtId="0" fontId="0" fillId="37" borderId="97" xfId="0" applyFill="1" applyBorder="1" applyAlignment="1" applyProtection="1">
      <alignment/>
      <protection/>
    </xf>
    <xf numFmtId="0" fontId="0" fillId="37" borderId="98" xfId="0" applyFont="1" applyFill="1" applyBorder="1" applyAlignment="1" applyProtection="1">
      <alignment/>
      <protection/>
    </xf>
    <xf numFmtId="0" fontId="3" fillId="36" borderId="90" xfId="0" applyFont="1" applyFill="1" applyBorder="1" applyAlignment="1" applyProtection="1">
      <alignment/>
      <protection/>
    </xf>
    <xf numFmtId="0" fontId="0" fillId="36" borderId="91" xfId="0" applyFont="1" applyFill="1" applyBorder="1" applyAlignment="1" applyProtection="1">
      <alignment horizontal="center"/>
      <protection/>
    </xf>
    <xf numFmtId="0" fontId="0" fillId="36" borderId="92" xfId="0" applyFont="1" applyFill="1" applyBorder="1" applyAlignment="1" applyProtection="1">
      <alignment/>
      <protection/>
    </xf>
    <xf numFmtId="0" fontId="0" fillId="36" borderId="107" xfId="0" applyFont="1" applyFill="1" applyBorder="1" applyAlignment="1" applyProtection="1">
      <alignment horizontal="right"/>
      <protection/>
    </xf>
    <xf numFmtId="0" fontId="0" fillId="36" borderId="47" xfId="0" applyFont="1" applyFill="1" applyBorder="1" applyAlignment="1" applyProtection="1">
      <alignment horizontal="center"/>
      <protection/>
    </xf>
    <xf numFmtId="0" fontId="0" fillId="36" borderId="94" xfId="0" applyFont="1" applyFill="1" applyBorder="1" applyAlignment="1" applyProtection="1">
      <alignment/>
      <protection/>
    </xf>
    <xf numFmtId="0" fontId="0" fillId="36" borderId="105" xfId="0" applyFont="1" applyFill="1" applyBorder="1" applyAlignment="1" applyProtection="1">
      <alignment horizontal="right"/>
      <protection/>
    </xf>
    <xf numFmtId="0" fontId="0" fillId="36" borderId="108" xfId="0" applyFont="1" applyFill="1" applyBorder="1" applyAlignment="1" applyProtection="1">
      <alignment horizontal="center"/>
      <protection/>
    </xf>
    <xf numFmtId="0" fontId="0" fillId="36" borderId="13" xfId="0" applyFont="1" applyFill="1" applyBorder="1" applyAlignment="1" applyProtection="1">
      <alignment horizontal="center"/>
      <protection/>
    </xf>
    <xf numFmtId="0" fontId="0" fillId="36" borderId="22" xfId="0" applyFont="1" applyFill="1" applyBorder="1" applyAlignment="1" applyProtection="1">
      <alignment horizontal="right"/>
      <protection/>
    </xf>
    <xf numFmtId="0" fontId="0" fillId="36" borderId="109" xfId="0" applyFont="1" applyFill="1" applyBorder="1" applyAlignment="1" applyProtection="1">
      <alignment horizontal="right"/>
      <protection/>
    </xf>
    <xf numFmtId="0" fontId="0" fillId="36" borderId="11" xfId="0" applyFont="1" applyFill="1" applyBorder="1" applyAlignment="1" applyProtection="1">
      <alignment horizontal="center"/>
      <protection/>
    </xf>
    <xf numFmtId="0" fontId="0" fillId="36" borderId="101" xfId="0" applyFont="1" applyFill="1" applyBorder="1" applyAlignment="1" applyProtection="1">
      <alignment/>
      <protection/>
    </xf>
    <xf numFmtId="0" fontId="2" fillId="36" borderId="97" xfId="0" applyFont="1" applyFill="1" applyBorder="1" applyAlignment="1" applyProtection="1">
      <alignment horizontal="center"/>
      <protection/>
    </xf>
    <xf numFmtId="0" fontId="0" fillId="36" borderId="97" xfId="0" applyFont="1" applyFill="1" applyBorder="1" applyAlignment="1" applyProtection="1">
      <alignment/>
      <protection/>
    </xf>
    <xf numFmtId="0" fontId="0" fillId="36" borderId="98" xfId="0" applyFont="1" applyFill="1" applyBorder="1" applyAlignment="1" applyProtection="1">
      <alignment/>
      <protection/>
    </xf>
    <xf numFmtId="181" fontId="0" fillId="42" borderId="10" xfId="0" applyNumberFormat="1" applyFont="1" applyFill="1" applyBorder="1" applyAlignment="1" applyProtection="1">
      <alignment horizontal="center"/>
      <protection/>
    </xf>
    <xf numFmtId="0" fontId="0" fillId="36" borderId="17" xfId="0" applyFont="1" applyFill="1" applyBorder="1" applyAlignment="1" applyProtection="1">
      <alignment/>
      <protection locked="0"/>
    </xf>
    <xf numFmtId="0" fontId="0" fillId="36" borderId="17" xfId="0" applyFont="1" applyFill="1" applyBorder="1" applyAlignment="1" applyProtection="1">
      <alignment horizontal="left"/>
      <protection locked="0"/>
    </xf>
    <xf numFmtId="0" fontId="0" fillId="36" borderId="84" xfId="0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36" borderId="17" xfId="0" applyFill="1" applyBorder="1" applyAlignment="1" applyProtection="1">
      <alignment/>
      <protection locked="0"/>
    </xf>
    <xf numFmtId="0" fontId="0" fillId="35" borderId="84" xfId="0" applyFill="1" applyBorder="1" applyAlignment="1" applyProtection="1">
      <alignment/>
      <protection locked="0"/>
    </xf>
    <xf numFmtId="0" fontId="0" fillId="35" borderId="26" xfId="0" applyFill="1" applyBorder="1" applyAlignment="1" applyProtection="1">
      <alignment/>
      <protection locked="0"/>
    </xf>
    <xf numFmtId="0" fontId="0" fillId="35" borderId="15" xfId="0" applyFill="1" applyBorder="1" applyAlignment="1" applyProtection="1">
      <alignment/>
      <protection locked="0"/>
    </xf>
    <xf numFmtId="0" fontId="0" fillId="35" borderId="46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45" borderId="0" xfId="0" applyFont="1" applyFill="1" applyAlignment="1" applyProtection="1">
      <alignment/>
      <protection/>
    </xf>
    <xf numFmtId="0" fontId="2" fillId="0" borderId="10" xfId="0" applyFont="1" applyBorder="1" applyAlignment="1" applyProtection="1">
      <alignment horizontal="right"/>
      <protection/>
    </xf>
    <xf numFmtId="0" fontId="15" fillId="0" borderId="17" xfId="0" applyFont="1" applyFill="1" applyBorder="1" applyAlignment="1" applyProtection="1">
      <alignment horizontal="left"/>
      <protection/>
    </xf>
    <xf numFmtId="0" fontId="15" fillId="0" borderId="84" xfId="0" applyFont="1" applyFill="1" applyBorder="1" applyAlignment="1" applyProtection="1">
      <alignment horizontal="left"/>
      <protection/>
    </xf>
    <xf numFmtId="0" fontId="2" fillId="0" borderId="39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58" xfId="0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right"/>
      <protection/>
    </xf>
    <xf numFmtId="14" fontId="2" fillId="0" borderId="0" xfId="0" applyNumberFormat="1" applyFont="1" applyFill="1" applyAlignment="1" applyProtection="1">
      <alignment/>
      <protection/>
    </xf>
    <xf numFmtId="0" fontId="15" fillId="0" borderId="17" xfId="0" applyFont="1" applyFill="1" applyBorder="1" applyAlignment="1" applyProtection="1">
      <alignment/>
      <protection/>
    </xf>
    <xf numFmtId="0" fontId="2" fillId="0" borderId="84" xfId="0" applyFont="1" applyFill="1" applyBorder="1" applyAlignment="1" applyProtection="1">
      <alignment/>
      <protection/>
    </xf>
    <xf numFmtId="0" fontId="0" fillId="0" borderId="67" xfId="0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5" fillId="0" borderId="17" xfId="0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18" xfId="0" applyBorder="1" applyAlignment="1" applyProtection="1">
      <alignment/>
      <protection/>
    </xf>
    <xf numFmtId="0" fontId="1" fillId="0" borderId="110" xfId="0" applyFont="1" applyBorder="1" applyAlignment="1" applyProtection="1">
      <alignment/>
      <protection/>
    </xf>
    <xf numFmtId="0" fontId="0" fillId="0" borderId="93" xfId="0" applyBorder="1" applyAlignment="1" applyProtection="1">
      <alignment/>
      <protection/>
    </xf>
    <xf numFmtId="0" fontId="0" fillId="0" borderId="110" xfId="0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84" xfId="0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11" xfId="0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8" fontId="1" fillId="0" borderId="0" xfId="0" applyNumberFormat="1" applyFont="1" applyFill="1" applyBorder="1" applyAlignment="1" applyProtection="1">
      <alignment horizontal="center"/>
      <protection/>
    </xf>
    <xf numFmtId="0" fontId="0" fillId="0" borderId="111" xfId="0" applyBorder="1" applyAlignment="1" applyProtection="1">
      <alignment/>
      <protection/>
    </xf>
    <xf numFmtId="168" fontId="1" fillId="0" borderId="110" xfId="0" applyNumberFormat="1" applyFont="1" applyFill="1" applyBorder="1" applyAlignment="1" applyProtection="1">
      <alignment horizontal="center"/>
      <protection/>
    </xf>
    <xf numFmtId="0" fontId="1" fillId="0" borderId="110" xfId="0" applyFont="1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68" fontId="1" fillId="0" borderId="24" xfId="0" applyNumberFormat="1" applyFont="1" applyFill="1" applyBorder="1" applyAlignment="1" applyProtection="1">
      <alignment horizontal="center"/>
      <protection/>
    </xf>
    <xf numFmtId="0" fontId="0" fillId="0" borderId="58" xfId="0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0" fontId="0" fillId="0" borderId="58" xfId="0" applyFont="1" applyFill="1" applyBorder="1" applyAlignment="1" applyProtection="1">
      <alignment horizontal="left"/>
      <protection/>
    </xf>
    <xf numFmtId="168" fontId="0" fillId="0" borderId="0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12" xfId="0" applyBorder="1" applyAlignment="1" applyProtection="1">
      <alignment/>
      <protection/>
    </xf>
    <xf numFmtId="168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93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/>
      <protection/>
    </xf>
    <xf numFmtId="0" fontId="0" fillId="0" borderId="58" xfId="0" applyFon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2" fontId="0" fillId="0" borderId="111" xfId="0" applyNumberForma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0" fontId="0" fillId="35" borderId="84" xfId="0" applyFill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168" fontId="1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2" fillId="0" borderId="17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2" fillId="0" borderId="8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5" fillId="35" borderId="17" xfId="0" applyFont="1" applyFill="1" applyBorder="1" applyAlignment="1" applyProtection="1">
      <alignment horizontal="left"/>
      <protection locked="0"/>
    </xf>
    <xf numFmtId="0" fontId="15" fillId="35" borderId="84" xfId="0" applyFont="1" applyFill="1" applyBorder="1" applyAlignment="1" applyProtection="1">
      <alignment horizontal="left"/>
      <protection locked="0"/>
    </xf>
    <xf numFmtId="0" fontId="17" fillId="35" borderId="24" xfId="0" applyFont="1" applyFill="1" applyBorder="1" applyAlignment="1" applyProtection="1">
      <alignment/>
      <protection locked="0"/>
    </xf>
    <xf numFmtId="0" fontId="2" fillId="35" borderId="24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28" fillId="0" borderId="0" xfId="0" applyFont="1" applyAlignment="1" applyProtection="1">
      <alignment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6" fillId="0" borderId="0" xfId="0" applyFont="1" applyAlignment="1" applyProtection="1" quotePrefix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110" xfId="0" applyFont="1" applyBorder="1" applyAlignment="1" applyProtection="1">
      <alignment horizontal="right"/>
      <protection/>
    </xf>
    <xf numFmtId="0" fontId="15" fillId="0" borderId="110" xfId="0" applyFont="1" applyFill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168" fontId="0" fillId="0" borderId="10" xfId="0" applyNumberForma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58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168" fontId="0" fillId="0" borderId="10" xfId="0" applyNumberFormat="1" applyFont="1" applyFill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/>
    </xf>
    <xf numFmtId="168" fontId="0" fillId="35" borderId="10" xfId="0" applyNumberFormat="1" applyFill="1" applyBorder="1" applyAlignment="1" applyProtection="1">
      <alignment/>
      <protection locked="0"/>
    </xf>
    <xf numFmtId="14" fontId="2" fillId="35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2" fillId="0" borderId="84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1" fillId="0" borderId="17" xfId="0" applyFon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22" fillId="0" borderId="0" xfId="0" applyFont="1" applyAlignment="1" applyProtection="1">
      <alignment/>
      <protection/>
    </xf>
    <xf numFmtId="164" fontId="0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46" borderId="1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67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93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0" fillId="0" borderId="111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67" xfId="0" applyBorder="1" applyAlignment="1" applyProtection="1">
      <alignment horizontal="center"/>
      <protection/>
    </xf>
    <xf numFmtId="0" fontId="0" fillId="0" borderId="112" xfId="0" applyFont="1" applyBorder="1" applyAlignment="1" applyProtection="1">
      <alignment horizontal="center"/>
      <protection/>
    </xf>
    <xf numFmtId="0" fontId="0" fillId="0" borderId="67" xfId="0" applyFont="1" applyBorder="1" applyAlignment="1" applyProtection="1">
      <alignment horizontal="center"/>
      <protection/>
    </xf>
    <xf numFmtId="2" fontId="2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 quotePrefix="1">
      <alignment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0" fontId="22" fillId="0" borderId="10" xfId="0" applyFont="1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167" fontId="0" fillId="0" borderId="0" xfId="0" applyNumberForma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0" fillId="39" borderId="19" xfId="0" applyFill="1" applyBorder="1" applyAlignment="1" applyProtection="1">
      <alignment/>
      <protection/>
    </xf>
    <xf numFmtId="0" fontId="0" fillId="39" borderId="0" xfId="0" applyFill="1" applyBorder="1" applyAlignment="1" applyProtection="1">
      <alignment/>
      <protection/>
    </xf>
    <xf numFmtId="0" fontId="0" fillId="39" borderId="93" xfId="0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0" fillId="0" borderId="20" xfId="0" applyFont="1" applyBorder="1" applyAlignment="1" applyProtection="1">
      <alignment horizontal="center"/>
      <protection/>
    </xf>
    <xf numFmtId="168" fontId="1" fillId="0" borderId="10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85" xfId="0" applyBorder="1" applyAlignment="1" applyProtection="1">
      <alignment horizontal="center"/>
      <protection/>
    </xf>
    <xf numFmtId="0" fontId="1" fillId="0" borderId="113" xfId="0" applyFont="1" applyBorder="1" applyAlignment="1" applyProtection="1">
      <alignment horizontal="center"/>
      <protection/>
    </xf>
    <xf numFmtId="0" fontId="1" fillId="0" borderId="84" xfId="0" applyFont="1" applyBorder="1" applyAlignment="1" applyProtection="1">
      <alignment horizontal="center"/>
      <protection/>
    </xf>
    <xf numFmtId="0" fontId="0" fillId="0" borderId="75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168" fontId="1" fillId="0" borderId="113" xfId="0" applyNumberFormat="1" applyFont="1" applyBorder="1" applyAlignment="1" applyProtection="1">
      <alignment horizontal="center"/>
      <protection/>
    </xf>
    <xf numFmtId="168" fontId="0" fillId="0" borderId="84" xfId="0" applyNumberFormat="1" applyFont="1" applyFill="1" applyBorder="1" applyAlignment="1" applyProtection="1">
      <alignment horizontal="center"/>
      <protection/>
    </xf>
    <xf numFmtId="0" fontId="0" fillId="0" borderId="67" xfId="0" applyBorder="1" applyAlignment="1" applyProtection="1">
      <alignment/>
      <protection/>
    </xf>
    <xf numFmtId="165" fontId="0" fillId="0" borderId="10" xfId="0" applyNumberFormat="1" applyBorder="1" applyAlignment="1" applyProtection="1">
      <alignment horizontal="center"/>
      <protection/>
    </xf>
    <xf numFmtId="168" fontId="0" fillId="0" borderId="67" xfId="0" applyNumberFormat="1" applyBorder="1" applyAlignment="1" applyProtection="1">
      <alignment horizontal="center"/>
      <protection/>
    </xf>
    <xf numFmtId="168" fontId="1" fillId="0" borderId="20" xfId="0" applyNumberFormat="1" applyFont="1" applyBorder="1" applyAlignment="1" applyProtection="1">
      <alignment horizontal="center"/>
      <protection/>
    </xf>
    <xf numFmtId="165" fontId="0" fillId="0" borderId="39" xfId="0" applyNumberFormat="1" applyBorder="1" applyAlignment="1" applyProtection="1">
      <alignment horizontal="center"/>
      <protection/>
    </xf>
    <xf numFmtId="0" fontId="0" fillId="0" borderId="110" xfId="0" applyBorder="1" applyAlignment="1" applyProtection="1">
      <alignment horizontal="center"/>
      <protection/>
    </xf>
    <xf numFmtId="165" fontId="0" fillId="0" borderId="110" xfId="0" applyNumberFormat="1" applyBorder="1" applyAlignment="1" applyProtection="1">
      <alignment horizontal="center"/>
      <protection/>
    </xf>
    <xf numFmtId="0" fontId="0" fillId="0" borderId="85" xfId="0" applyFont="1" applyBorder="1" applyAlignment="1" applyProtection="1">
      <alignment/>
      <protection/>
    </xf>
    <xf numFmtId="0" fontId="1" fillId="0" borderId="114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14" xfId="0" applyFont="1" applyBorder="1" applyAlignment="1" applyProtection="1">
      <alignment horizontal="center"/>
      <protection/>
    </xf>
    <xf numFmtId="0" fontId="0" fillId="0" borderId="72" xfId="0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/>
      <protection/>
    </xf>
    <xf numFmtId="0" fontId="0" fillId="0" borderId="73" xfId="0" applyFill="1" applyBorder="1" applyAlignment="1" applyProtection="1">
      <alignment horizontal="center"/>
      <protection/>
    </xf>
    <xf numFmtId="0" fontId="0" fillId="0" borderId="72" xfId="0" applyFill="1" applyBorder="1" applyAlignment="1" applyProtection="1">
      <alignment horizontal="center"/>
      <protection/>
    </xf>
    <xf numFmtId="0" fontId="0" fillId="0" borderId="39" xfId="0" applyFont="1" applyFill="1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/>
      <protection/>
    </xf>
    <xf numFmtId="0" fontId="0" fillId="0" borderId="75" xfId="0" applyBorder="1" applyAlignment="1" applyProtection="1">
      <alignment horizontal="center"/>
      <protection/>
    </xf>
    <xf numFmtId="1" fontId="1" fillId="0" borderId="114" xfId="0" applyNumberFormat="1" applyFont="1" applyBorder="1" applyAlignment="1" applyProtection="1">
      <alignment horizontal="center"/>
      <protection/>
    </xf>
    <xf numFmtId="1" fontId="1" fillId="0" borderId="10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166" fontId="0" fillId="0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/>
    </xf>
    <xf numFmtId="0" fontId="24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1" fillId="0" borderId="10" xfId="0" applyFont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12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58" xfId="0" applyFont="1" applyFill="1" applyBorder="1" applyAlignment="1" applyProtection="1">
      <alignment horizontal="center"/>
      <protection/>
    </xf>
    <xf numFmtId="182" fontId="0" fillId="0" borderId="10" xfId="0" applyNumberForma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111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9" fontId="0" fillId="0" borderId="39" xfId="0" applyNumberFormat="1" applyFont="1" applyBorder="1" applyAlignment="1" applyProtection="1" quotePrefix="1">
      <alignment horizontal="center"/>
      <protection/>
    </xf>
    <xf numFmtId="9" fontId="0" fillId="0" borderId="39" xfId="0" applyNumberFormat="1" applyFont="1" applyFill="1" applyBorder="1" applyAlignment="1" applyProtection="1" quotePrefix="1">
      <alignment horizontal="center"/>
      <protection/>
    </xf>
    <xf numFmtId="0" fontId="0" fillId="0" borderId="112" xfId="0" applyBorder="1" applyAlignment="1" applyProtection="1">
      <alignment horizontal="center"/>
      <protection/>
    </xf>
    <xf numFmtId="1" fontId="1" fillId="0" borderId="17" xfId="0" applyNumberFormat="1" applyFont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/>
      <protection/>
    </xf>
    <xf numFmtId="178" fontId="1" fillId="0" borderId="0" xfId="0" applyNumberFormat="1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26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1" fillId="35" borderId="10" xfId="0" applyFont="1" applyFill="1" applyBorder="1" applyAlignment="1" applyProtection="1">
      <alignment horizontal="center" vertical="center"/>
      <protection locked="0"/>
    </xf>
    <xf numFmtId="178" fontId="0" fillId="35" borderId="25" xfId="0" applyNumberFormat="1" applyFont="1" applyFill="1" applyBorder="1" applyAlignment="1" applyProtection="1">
      <alignment horizontal="center" vertical="center"/>
      <protection locked="0"/>
    </xf>
    <xf numFmtId="169" fontId="2" fillId="35" borderId="16" xfId="0" applyNumberFormat="1" applyFont="1" applyFill="1" applyBorder="1" applyAlignment="1" applyProtection="1">
      <alignment/>
      <protection locked="0"/>
    </xf>
    <xf numFmtId="169" fontId="2" fillId="35" borderId="15" xfId="0" applyNumberFormat="1" applyFont="1" applyFill="1" applyBorder="1" applyAlignment="1" applyProtection="1">
      <alignment/>
      <protection locked="0"/>
    </xf>
    <xf numFmtId="169" fontId="2" fillId="35" borderId="26" xfId="0" applyNumberFormat="1" applyFont="1" applyFill="1" applyBorder="1" applyAlignment="1" applyProtection="1">
      <alignment/>
      <protection locked="0"/>
    </xf>
    <xf numFmtId="170" fontId="2" fillId="35" borderId="26" xfId="0" applyNumberFormat="1" applyFont="1" applyFill="1" applyBorder="1" applyAlignment="1" applyProtection="1">
      <alignment/>
      <protection locked="0"/>
    </xf>
    <xf numFmtId="170" fontId="2" fillId="35" borderId="15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0" borderId="95" xfId="0" applyFont="1" applyFill="1" applyBorder="1" applyAlignment="1" applyProtection="1">
      <alignment/>
      <protection/>
    </xf>
    <xf numFmtId="175" fontId="0" fillId="0" borderId="0" xfId="0" applyNumberFormat="1" applyFont="1" applyFill="1" applyBorder="1" applyAlignment="1" applyProtection="1">
      <alignment/>
      <protection/>
    </xf>
    <xf numFmtId="0" fontId="0" fillId="0" borderId="111" xfId="0" applyFont="1" applyFill="1" applyBorder="1" applyAlignment="1" applyProtection="1">
      <alignment horizontal="right" vertical="center"/>
      <protection/>
    </xf>
    <xf numFmtId="9" fontId="0" fillId="0" borderId="72" xfId="0" applyNumberFormat="1" applyFont="1" applyBorder="1" applyAlignment="1" applyProtection="1" quotePrefix="1">
      <alignment horizontal="center"/>
      <protection/>
    </xf>
    <xf numFmtId="178" fontId="0" fillId="35" borderId="1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/>
      <protection/>
    </xf>
    <xf numFmtId="0" fontId="0" fillId="0" borderId="95" xfId="0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/>
      <protection/>
    </xf>
    <xf numFmtId="0" fontId="0" fillId="35" borderId="0" xfId="0" applyFill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0" fontId="0" fillId="39" borderId="17" xfId="0" applyFont="1" applyFill="1" applyBorder="1" applyAlignment="1" applyProtection="1">
      <alignment vertical="center"/>
      <protection/>
    </xf>
    <xf numFmtId="0" fontId="0" fillId="39" borderId="28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10" xfId="0" applyFont="1" applyFill="1" applyBorder="1" applyAlignment="1" applyProtection="1">
      <alignment/>
      <protection/>
    </xf>
    <xf numFmtId="0" fontId="0" fillId="0" borderId="116" xfId="0" applyFont="1" applyFill="1" applyBorder="1" applyAlignment="1" applyProtection="1">
      <alignment horizontal="right"/>
      <protection/>
    </xf>
    <xf numFmtId="169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right"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0" fillId="42" borderId="29" xfId="0" applyFont="1" applyFill="1" applyBorder="1" applyAlignment="1" applyProtection="1">
      <alignment horizontal="center" vertical="center"/>
      <protection/>
    </xf>
    <xf numFmtId="0" fontId="0" fillId="42" borderId="14" xfId="0" applyFont="1" applyFill="1" applyBorder="1" applyAlignment="1" applyProtection="1">
      <alignment horizontal="center" vertical="center"/>
      <protection/>
    </xf>
    <xf numFmtId="173" fontId="0" fillId="42" borderId="14" xfId="0" applyNumberFormat="1" applyFont="1" applyFill="1" applyBorder="1" applyAlignment="1" applyProtection="1">
      <alignment horizontal="center" vertical="center"/>
      <protection/>
    </xf>
    <xf numFmtId="0" fontId="0" fillId="37" borderId="55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/>
      <protection/>
    </xf>
    <xf numFmtId="173" fontId="0" fillId="37" borderId="14" xfId="0" applyNumberFormat="1" applyFont="1" applyFill="1" applyBorder="1" applyAlignment="1" applyProtection="1">
      <alignment horizontal="center" vertical="center"/>
      <protection/>
    </xf>
    <xf numFmtId="0" fontId="0" fillId="36" borderId="117" xfId="0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horizontal="center"/>
      <protection/>
    </xf>
    <xf numFmtId="173" fontId="0" fillId="36" borderId="14" xfId="0" applyNumberFormat="1" applyFont="1" applyFill="1" applyBorder="1" applyAlignment="1" applyProtection="1">
      <alignment horizontal="center" vertical="center"/>
      <protection/>
    </xf>
    <xf numFmtId="0" fontId="0" fillId="33" borderId="117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173" fontId="0" fillId="33" borderId="14" xfId="0" applyNumberFormat="1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/>
      <protection/>
    </xf>
    <xf numFmtId="0" fontId="0" fillId="0" borderId="118" xfId="0" applyFont="1" applyFill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/>
      <protection/>
    </xf>
    <xf numFmtId="0" fontId="0" fillId="42" borderId="10" xfId="0" applyFont="1" applyFill="1" applyBorder="1" applyAlignment="1" applyProtection="1">
      <alignment horizontal="center" vertical="center"/>
      <protection/>
    </xf>
    <xf numFmtId="173" fontId="0" fillId="42" borderId="17" xfId="0" applyNumberFormat="1" applyFont="1" applyFill="1" applyBorder="1" applyAlignment="1" applyProtection="1">
      <alignment horizontal="center" vertical="center"/>
      <protection/>
    </xf>
    <xf numFmtId="0" fontId="0" fillId="37" borderId="114" xfId="0" applyFont="1" applyFill="1" applyBorder="1" applyAlignment="1" applyProtection="1">
      <alignment horizontal="center" vertical="center"/>
      <protection/>
    </xf>
    <xf numFmtId="0" fontId="0" fillId="37" borderId="10" xfId="0" applyFont="1" applyFill="1" applyBorder="1" applyAlignment="1" applyProtection="1">
      <alignment horizontal="center" vertical="center"/>
      <protection/>
    </xf>
    <xf numFmtId="173" fontId="0" fillId="37" borderId="17" xfId="0" applyNumberFormat="1" applyFont="1" applyFill="1" applyBorder="1" applyAlignment="1" applyProtection="1">
      <alignment horizontal="center" vertical="center"/>
      <protection/>
    </xf>
    <xf numFmtId="0" fontId="0" fillId="36" borderId="114" xfId="0" applyFont="1" applyFill="1" applyBorder="1" applyAlignment="1" applyProtection="1">
      <alignment horizontal="center" vertical="center"/>
      <protection/>
    </xf>
    <xf numFmtId="0" fontId="0" fillId="36" borderId="10" xfId="0" applyFont="1" applyFill="1" applyBorder="1" applyAlignment="1" applyProtection="1">
      <alignment horizontal="center" vertical="center"/>
      <protection/>
    </xf>
    <xf numFmtId="173" fontId="0" fillId="36" borderId="113" xfId="0" applyNumberFormat="1" applyFont="1" applyFill="1" applyBorder="1" applyAlignment="1" applyProtection="1">
      <alignment horizontal="center" vertical="center"/>
      <protection/>
    </xf>
    <xf numFmtId="0" fontId="0" fillId="33" borderId="84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0" fillId="0" borderId="119" xfId="0" applyFont="1" applyFill="1" applyBorder="1" applyAlignment="1" applyProtection="1">
      <alignment horizontal="right"/>
      <protection/>
    </xf>
    <xf numFmtId="0" fontId="0" fillId="0" borderId="120" xfId="0" applyFont="1" applyFill="1" applyBorder="1" applyAlignment="1" applyProtection="1">
      <alignment horizontal="center"/>
      <protection/>
    </xf>
    <xf numFmtId="0" fontId="0" fillId="0" borderId="121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right"/>
      <protection/>
    </xf>
    <xf numFmtId="0" fontId="0" fillId="0" borderId="122" xfId="0" applyFont="1" applyFill="1" applyBorder="1" applyAlignment="1" applyProtection="1">
      <alignment/>
      <protection/>
    </xf>
    <xf numFmtId="0" fontId="0" fillId="0" borderId="123" xfId="0" applyFont="1" applyFill="1" applyBorder="1" applyAlignment="1" applyProtection="1">
      <alignment/>
      <protection/>
    </xf>
    <xf numFmtId="0" fontId="0" fillId="0" borderId="108" xfId="0" applyFont="1" applyFill="1" applyBorder="1" applyAlignment="1" applyProtection="1">
      <alignment horizontal="center"/>
      <protection/>
    </xf>
    <xf numFmtId="0" fontId="0" fillId="0" borderId="121" xfId="0" applyFont="1" applyFill="1" applyBorder="1" applyAlignment="1" applyProtection="1">
      <alignment horizontal="left"/>
      <protection/>
    </xf>
    <xf numFmtId="0" fontId="0" fillId="0" borderId="66" xfId="0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 applyProtection="1">
      <alignment horizontal="right"/>
      <protection/>
    </xf>
    <xf numFmtId="0" fontId="2" fillId="0" borderId="123" xfId="0" applyFont="1" applyBorder="1" applyAlignment="1" applyProtection="1">
      <alignment/>
      <protection/>
    </xf>
    <xf numFmtId="0" fontId="2" fillId="0" borderId="108" xfId="0" applyFont="1" applyBorder="1" applyAlignment="1" applyProtection="1">
      <alignment/>
      <protection/>
    </xf>
    <xf numFmtId="39" fontId="0" fillId="0" borderId="65" xfId="0" applyNumberFormat="1" applyFont="1" applyFill="1" applyBorder="1" applyAlignment="1" applyProtection="1">
      <alignment horizontal="center"/>
      <protection/>
    </xf>
    <xf numFmtId="39" fontId="0" fillId="0" borderId="64" xfId="0" applyNumberFormat="1" applyFont="1" applyFill="1" applyBorder="1" applyAlignment="1" applyProtection="1">
      <alignment horizontal="center"/>
      <protection/>
    </xf>
    <xf numFmtId="0" fontId="2" fillId="0" borderId="65" xfId="0" applyFont="1" applyBorder="1" applyAlignment="1" applyProtection="1">
      <alignment/>
      <protection/>
    </xf>
    <xf numFmtId="0" fontId="0" fillId="0" borderId="124" xfId="0" applyFont="1" applyFill="1" applyBorder="1" applyAlignment="1" applyProtection="1">
      <alignment horizontal="right"/>
      <protection/>
    </xf>
    <xf numFmtId="0" fontId="0" fillId="0" borderId="125" xfId="0" applyFont="1" applyFill="1" applyBorder="1" applyAlignment="1" applyProtection="1">
      <alignment horizontal="right"/>
      <protection/>
    </xf>
    <xf numFmtId="39" fontId="0" fillId="0" borderId="123" xfId="0" applyNumberFormat="1" applyFont="1" applyFill="1" applyBorder="1" applyAlignment="1" applyProtection="1">
      <alignment horizontal="center"/>
      <protection/>
    </xf>
    <xf numFmtId="0" fontId="0" fillId="0" borderId="58" xfId="0" applyFont="1" applyFill="1" applyBorder="1" applyAlignment="1" applyProtection="1">
      <alignment/>
      <protection/>
    </xf>
    <xf numFmtId="37" fontId="0" fillId="0" borderId="20" xfId="0" applyNumberFormat="1" applyFont="1" applyFill="1" applyBorder="1" applyAlignment="1" applyProtection="1">
      <alignment horizontal="center" vertical="center"/>
      <protection/>
    </xf>
    <xf numFmtId="20" fontId="0" fillId="0" borderId="24" xfId="0" applyNumberFormat="1" applyFont="1" applyFill="1" applyBorder="1" applyAlignment="1" applyProtection="1">
      <alignment horizontal="center" vertical="center"/>
      <protection/>
    </xf>
    <xf numFmtId="37" fontId="0" fillId="0" borderId="24" xfId="0" applyNumberFormat="1" applyFont="1" applyFill="1" applyBorder="1" applyAlignment="1" applyProtection="1">
      <alignment horizontal="center" vertical="center"/>
      <protection/>
    </xf>
    <xf numFmtId="37" fontId="0" fillId="0" borderId="126" xfId="0" applyNumberFormat="1" applyFont="1" applyFill="1" applyBorder="1" applyAlignment="1" applyProtection="1">
      <alignment horizontal="center" vertical="center"/>
      <protection/>
    </xf>
    <xf numFmtId="1" fontId="0" fillId="0" borderId="64" xfId="0" applyNumberFormat="1" applyFont="1" applyFill="1" applyBorder="1" applyAlignment="1" applyProtection="1">
      <alignment horizontal="center"/>
      <protection/>
    </xf>
    <xf numFmtId="0" fontId="0" fillId="0" borderId="67" xfId="0" applyFont="1" applyFill="1" applyBorder="1" applyAlignment="1" applyProtection="1">
      <alignment horizontal="right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85" xfId="0" applyFont="1" applyFill="1" applyBorder="1" applyAlignment="1" applyProtection="1">
      <alignment/>
      <protection/>
    </xf>
    <xf numFmtId="1" fontId="0" fillId="0" borderId="127" xfId="0" applyNumberFormat="1" applyFont="1" applyFill="1" applyBorder="1" applyAlignment="1" applyProtection="1">
      <alignment horizontal="center"/>
      <protection/>
    </xf>
    <xf numFmtId="0" fontId="2" fillId="0" borderId="64" xfId="0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35" borderId="10" xfId="0" applyNumberFormat="1" applyFont="1" applyFill="1" applyBorder="1" applyAlignment="1" applyProtection="1">
      <alignment horizontal="center"/>
      <protection locked="0"/>
    </xf>
    <xf numFmtId="0" fontId="0" fillId="35" borderId="19" xfId="0" applyFont="1" applyFill="1" applyBorder="1" applyAlignment="1" applyProtection="1">
      <alignment horizontal="right"/>
      <protection locked="0"/>
    </xf>
    <xf numFmtId="0" fontId="0" fillId="35" borderId="39" xfId="0" applyFont="1" applyFill="1" applyBorder="1" applyAlignment="1" applyProtection="1">
      <alignment/>
      <protection locked="0"/>
    </xf>
    <xf numFmtId="0" fontId="0" fillId="35" borderId="58" xfId="0" applyFont="1" applyFill="1" applyBorder="1" applyAlignment="1" applyProtection="1">
      <alignment/>
      <protection locked="0"/>
    </xf>
    <xf numFmtId="0" fontId="0" fillId="35" borderId="38" xfId="0" applyFont="1" applyFill="1" applyBorder="1" applyAlignment="1" applyProtection="1">
      <alignment/>
      <protection locked="0"/>
    </xf>
    <xf numFmtId="0" fontId="0" fillId="35" borderId="44" xfId="0" applyFont="1" applyFill="1" applyBorder="1" applyAlignment="1" applyProtection="1">
      <alignment/>
      <protection locked="0"/>
    </xf>
    <xf numFmtId="0" fontId="0" fillId="35" borderId="67" xfId="0" applyFont="1" applyFill="1" applyBorder="1" applyAlignment="1" applyProtection="1">
      <alignment/>
      <protection locked="0"/>
    </xf>
    <xf numFmtId="0" fontId="0" fillId="35" borderId="24" xfId="0" applyFont="1" applyFill="1" applyBorder="1" applyAlignment="1" applyProtection="1">
      <alignment/>
      <protection locked="0"/>
    </xf>
    <xf numFmtId="0" fontId="0" fillId="35" borderId="24" xfId="0" applyFont="1" applyFill="1" applyBorder="1" applyAlignment="1" applyProtection="1">
      <alignment horizontal="right" vertical="center"/>
      <protection locked="0"/>
    </xf>
    <xf numFmtId="0" fontId="0" fillId="35" borderId="112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176" fontId="2" fillId="0" borderId="0" xfId="0" applyNumberFormat="1" applyFont="1" applyFill="1" applyBorder="1" applyAlignment="1" applyProtection="1">
      <alignment horizontal="center"/>
      <protection/>
    </xf>
    <xf numFmtId="0" fontId="2" fillId="0" borderId="95" xfId="0" applyFont="1" applyFill="1" applyBorder="1" applyAlignment="1" applyProtection="1">
      <alignment/>
      <protection/>
    </xf>
    <xf numFmtId="0" fontId="0" fillId="39" borderId="30" xfId="0" applyFont="1" applyFill="1" applyBorder="1" applyAlignment="1" applyProtection="1">
      <alignment/>
      <protection/>
    </xf>
    <xf numFmtId="177" fontId="0" fillId="0" borderId="0" xfId="0" applyNumberFormat="1" applyFont="1" applyFill="1" applyBorder="1" applyAlignment="1" applyProtection="1">
      <alignment/>
      <protection/>
    </xf>
    <xf numFmtId="0" fontId="0" fillId="0" borderId="85" xfId="0" applyBorder="1" applyAlignment="1" applyProtection="1">
      <alignment/>
      <protection/>
    </xf>
    <xf numFmtId="0" fontId="0" fillId="0" borderId="128" xfId="0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23" xfId="0" applyFont="1" applyFill="1" applyBorder="1" applyAlignment="1" applyProtection="1">
      <alignment horizontal="center"/>
      <protection/>
    </xf>
    <xf numFmtId="0" fontId="0" fillId="0" borderId="129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110" xfId="0" applyFont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67" xfId="0" applyFont="1" applyFill="1" applyBorder="1" applyAlignment="1" applyProtection="1">
      <alignment horizontal="center"/>
      <protection/>
    </xf>
    <xf numFmtId="0" fontId="0" fillId="0" borderId="75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130" xfId="0" applyBorder="1" applyAlignment="1" applyProtection="1">
      <alignment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131" xfId="0" applyFont="1" applyFill="1" applyBorder="1" applyAlignment="1" applyProtection="1">
      <alignment horizontal="left"/>
      <protection/>
    </xf>
    <xf numFmtId="0" fontId="0" fillId="0" borderId="52" xfId="0" applyFont="1" applyFill="1" applyBorder="1" applyAlignment="1" applyProtection="1">
      <alignment horizontal="left"/>
      <protection/>
    </xf>
    <xf numFmtId="0" fontId="0" fillId="0" borderId="132" xfId="0" applyFont="1" applyBorder="1" applyAlignment="1" applyProtection="1">
      <alignment horizontal="center"/>
      <protection/>
    </xf>
    <xf numFmtId="0" fontId="0" fillId="0" borderId="133" xfId="0" applyFont="1" applyBorder="1" applyAlignment="1" applyProtection="1">
      <alignment horizontal="center"/>
      <protection/>
    </xf>
    <xf numFmtId="0" fontId="0" fillId="0" borderId="53" xfId="0" applyBorder="1" applyAlignment="1" applyProtection="1">
      <alignment/>
      <protection/>
    </xf>
    <xf numFmtId="0" fontId="0" fillId="0" borderId="130" xfId="0" applyFont="1" applyFill="1" applyBorder="1" applyAlignment="1" applyProtection="1">
      <alignment horizontal="center"/>
      <protection/>
    </xf>
    <xf numFmtId="0" fontId="0" fillId="0" borderId="134" xfId="0" applyFont="1" applyFill="1" applyBorder="1" applyAlignment="1" applyProtection="1">
      <alignment horizontal="center"/>
      <protection/>
    </xf>
    <xf numFmtId="0" fontId="0" fillId="0" borderId="135" xfId="0" applyFont="1" applyFill="1" applyBorder="1" applyAlignment="1" applyProtection="1">
      <alignment horizontal="center"/>
      <protection/>
    </xf>
    <xf numFmtId="0" fontId="0" fillId="0" borderId="136" xfId="0" applyFont="1" applyFill="1" applyBorder="1" applyAlignment="1" applyProtection="1">
      <alignment horizontal="center"/>
      <protection/>
    </xf>
    <xf numFmtId="0" fontId="0" fillId="0" borderId="137" xfId="0" applyFont="1" applyFill="1" applyBorder="1" applyAlignment="1" applyProtection="1">
      <alignment horizontal="center"/>
      <protection/>
    </xf>
    <xf numFmtId="0" fontId="0" fillId="0" borderId="46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57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8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0" fillId="0" borderId="53" xfId="0" applyFont="1" applyFill="1" applyBorder="1" applyAlignment="1" applyProtection="1">
      <alignment horizontal="center"/>
      <protection/>
    </xf>
    <xf numFmtId="0" fontId="0" fillId="0" borderId="138" xfId="0" applyBorder="1" applyAlignment="1" applyProtection="1">
      <alignment/>
      <protection/>
    </xf>
    <xf numFmtId="0" fontId="0" fillId="0" borderId="73" xfId="0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39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140" xfId="0" applyFont="1" applyFill="1" applyBorder="1" applyAlignment="1" applyProtection="1">
      <alignment horizontal="center"/>
      <protection/>
    </xf>
    <xf numFmtId="0" fontId="0" fillId="0" borderId="141" xfId="0" applyBorder="1" applyAlignment="1" applyProtection="1">
      <alignment horizontal="center"/>
      <protection/>
    </xf>
    <xf numFmtId="0" fontId="0" fillId="0" borderId="142" xfId="0" applyFont="1" applyFill="1" applyBorder="1" applyAlignment="1" applyProtection="1">
      <alignment horizontal="center"/>
      <protection/>
    </xf>
    <xf numFmtId="0" fontId="0" fillId="0" borderId="69" xfId="0" applyFont="1" applyFill="1" applyBorder="1" applyAlignment="1" applyProtection="1">
      <alignment horizontal="center"/>
      <protection/>
    </xf>
    <xf numFmtId="0" fontId="0" fillId="0" borderId="79" xfId="0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2" fillId="0" borderId="30" xfId="0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/>
      <protection/>
    </xf>
    <xf numFmtId="0" fontId="2" fillId="0" borderId="47" xfId="0" applyFont="1" applyFill="1" applyBorder="1" applyAlignment="1" applyProtection="1">
      <alignment/>
      <protection/>
    </xf>
    <xf numFmtId="0" fontId="2" fillId="0" borderId="31" xfId="0" applyFont="1" applyFill="1" applyBorder="1" applyAlignment="1" applyProtection="1">
      <alignment/>
      <protection/>
    </xf>
    <xf numFmtId="0" fontId="2" fillId="0" borderId="46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23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46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28" xfId="0" applyFont="1" applyFill="1" applyBorder="1" applyAlignment="1" applyProtection="1">
      <alignment/>
      <protection/>
    </xf>
    <xf numFmtId="0" fontId="2" fillId="0" borderId="84" xfId="0" applyFont="1" applyFill="1" applyBorder="1" applyAlignment="1" applyProtection="1">
      <alignment/>
      <protection/>
    </xf>
    <xf numFmtId="0" fontId="2" fillId="0" borderId="3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4" fontId="2" fillId="35" borderId="30" xfId="0" applyNumberFormat="1" applyFont="1" applyFill="1" applyBorder="1" applyAlignment="1" applyProtection="1">
      <alignment horizontal="center"/>
      <protection locked="0"/>
    </xf>
    <xf numFmtId="0" fontId="2" fillId="0" borderId="46" xfId="0" applyFont="1" applyFill="1" applyBorder="1" applyAlignment="1" applyProtection="1">
      <alignment/>
      <protection locked="0"/>
    </xf>
    <xf numFmtId="0" fontId="2" fillId="0" borderId="108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173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 horizontal="center"/>
      <protection/>
    </xf>
    <xf numFmtId="0" fontId="24" fillId="45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0" fillId="0" borderId="39" xfId="0" applyFont="1" applyFill="1" applyBorder="1" applyAlignment="1" applyProtection="1">
      <alignment/>
      <protection/>
    </xf>
    <xf numFmtId="0" fontId="23" fillId="0" borderId="111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right"/>
      <protection/>
    </xf>
    <xf numFmtId="0" fontId="1" fillId="0" borderId="24" xfId="0" applyFont="1" applyFill="1" applyBorder="1" applyAlignment="1" applyProtection="1">
      <alignment/>
      <protection/>
    </xf>
    <xf numFmtId="0" fontId="0" fillId="0" borderId="46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18" xfId="0" applyFont="1" applyFill="1" applyBorder="1" applyAlignment="1" applyProtection="1">
      <alignment horizontal="left"/>
      <protection locked="0"/>
    </xf>
    <xf numFmtId="0" fontId="1" fillId="0" borderId="110" xfId="0" applyFont="1" applyFill="1" applyBorder="1" applyAlignment="1" applyProtection="1">
      <alignment horizontal="center"/>
      <protection locked="0"/>
    </xf>
    <xf numFmtId="0" fontId="1" fillId="0" borderId="93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center"/>
      <protection locked="0"/>
    </xf>
    <xf numFmtId="0" fontId="1" fillId="0" borderId="84" xfId="0" applyFont="1" applyFill="1" applyBorder="1" applyAlignment="1" applyProtection="1">
      <alignment horizontal="center"/>
      <protection locked="0"/>
    </xf>
    <xf numFmtId="0" fontId="1" fillId="0" borderId="111" xfId="0" applyFont="1" applyFill="1" applyBorder="1" applyAlignment="1" applyProtection="1">
      <alignment/>
      <protection locked="0"/>
    </xf>
    <xf numFmtId="0" fontId="1" fillId="0" borderId="112" xfId="0" applyFont="1" applyFill="1" applyBorder="1" applyAlignment="1" applyProtection="1">
      <alignment/>
      <protection locked="0"/>
    </xf>
    <xf numFmtId="14" fontId="1" fillId="35" borderId="47" xfId="0" applyNumberFormat="1" applyFont="1" applyFill="1" applyBorder="1" applyAlignment="1" applyProtection="1">
      <alignment/>
      <protection locked="0"/>
    </xf>
    <xf numFmtId="0" fontId="1" fillId="0" borderId="108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2" fillId="33" borderId="21" xfId="0" applyFont="1" applyFill="1" applyBorder="1" applyAlignment="1" applyProtection="1">
      <alignment horizontal="left"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37" borderId="19" xfId="0" applyFont="1" applyFill="1" applyBorder="1" applyAlignment="1" applyProtection="1">
      <alignment horizontal="center" vertical="center"/>
      <protection/>
    </xf>
    <xf numFmtId="0" fontId="2" fillId="37" borderId="0" xfId="0" applyFont="1" applyFill="1" applyBorder="1" applyAlignment="1" applyProtection="1">
      <alignment horizontal="center" vertical="center"/>
      <protection/>
    </xf>
    <xf numFmtId="169" fontId="2" fillId="37" borderId="19" xfId="0" applyNumberFormat="1" applyFont="1" applyFill="1" applyBorder="1" applyAlignment="1" applyProtection="1">
      <alignment horizontal="center"/>
      <protection/>
    </xf>
    <xf numFmtId="0" fontId="2" fillId="37" borderId="0" xfId="0" applyFont="1" applyFill="1" applyAlignment="1" applyProtection="1">
      <alignment horizontal="right"/>
      <protection/>
    </xf>
    <xf numFmtId="0" fontId="4" fillId="37" borderId="0" xfId="0" applyFont="1" applyFill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27" xfId="0" applyFont="1" applyFill="1" applyBorder="1" applyAlignment="1" applyProtection="1">
      <alignment horizontal="center"/>
      <protection/>
    </xf>
    <xf numFmtId="0" fontId="2" fillId="37" borderId="0" xfId="0" applyFont="1" applyFill="1" applyAlignment="1" applyProtection="1">
      <alignment horizontal="centerContinuous"/>
      <protection/>
    </xf>
    <xf numFmtId="0" fontId="2" fillId="37" borderId="0" xfId="0" applyFont="1" applyFill="1" applyAlignment="1" applyProtection="1">
      <alignment/>
      <protection/>
    </xf>
    <xf numFmtId="0" fontId="2" fillId="34" borderId="39" xfId="0" applyFont="1" applyFill="1" applyBorder="1" applyAlignment="1" applyProtection="1">
      <alignment horizontal="center"/>
      <protection/>
    </xf>
    <xf numFmtId="0" fontId="2" fillId="34" borderId="47" xfId="0" applyFont="1" applyFill="1" applyBorder="1" applyAlignment="1" applyProtection="1">
      <alignment horizontal="center"/>
      <protection/>
    </xf>
    <xf numFmtId="0" fontId="2" fillId="34" borderId="27" xfId="0" applyFont="1" applyFill="1" applyBorder="1" applyAlignment="1" applyProtection="1">
      <alignment horizontal="center"/>
      <protection/>
    </xf>
    <xf numFmtId="0" fontId="2" fillId="34" borderId="29" xfId="0" applyFont="1" applyFill="1" applyBorder="1" applyAlignment="1" applyProtection="1">
      <alignment horizontal="center"/>
      <protection/>
    </xf>
    <xf numFmtId="0" fontId="2" fillId="34" borderId="78" xfId="0" applyFont="1" applyFill="1" applyBorder="1" applyAlignment="1" applyProtection="1">
      <alignment horizontal="center"/>
      <protection/>
    </xf>
    <xf numFmtId="0" fontId="2" fillId="37" borderId="0" xfId="0" applyFont="1" applyFill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5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08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23" xfId="0" applyFont="1" applyFill="1" applyBorder="1" applyAlignment="1" applyProtection="1">
      <alignment/>
      <protection/>
    </xf>
    <xf numFmtId="0" fontId="2" fillId="33" borderId="30" xfId="0" applyFont="1" applyFill="1" applyBorder="1" applyAlignment="1" applyProtection="1">
      <alignment/>
      <protection/>
    </xf>
    <xf numFmtId="0" fontId="2" fillId="33" borderId="46" xfId="0" applyFont="1" applyFill="1" applyBorder="1" applyAlignment="1" applyProtection="1">
      <alignment/>
      <protection/>
    </xf>
    <xf numFmtId="0" fontId="2" fillId="33" borderId="39" xfId="0" applyFont="1" applyFill="1" applyBorder="1" applyAlignment="1" applyProtection="1">
      <alignment/>
      <protection/>
    </xf>
    <xf numFmtId="0" fontId="2" fillId="33" borderId="110" xfId="0" applyFont="1" applyFill="1" applyBorder="1" applyAlignment="1" applyProtection="1">
      <alignment/>
      <protection/>
    </xf>
    <xf numFmtId="0" fontId="2" fillId="33" borderId="93" xfId="0" applyFont="1" applyFill="1" applyBorder="1" applyAlignment="1" applyProtection="1">
      <alignment/>
      <protection/>
    </xf>
    <xf numFmtId="0" fontId="2" fillId="33" borderId="111" xfId="0" applyFont="1" applyFill="1" applyBorder="1" applyAlignment="1" applyProtection="1">
      <alignment/>
      <protection/>
    </xf>
    <xf numFmtId="0" fontId="2" fillId="33" borderId="24" xfId="0" applyFont="1" applyFill="1" applyBorder="1" applyAlignment="1" applyProtection="1">
      <alignment/>
      <protection/>
    </xf>
    <xf numFmtId="0" fontId="2" fillId="33" borderId="112" xfId="0" applyFont="1" applyFill="1" applyBorder="1" applyAlignment="1" applyProtection="1">
      <alignment/>
      <protection/>
    </xf>
    <xf numFmtId="0" fontId="0" fillId="0" borderId="39" xfId="0" applyFont="1" applyBorder="1" applyAlignment="1">
      <alignment/>
    </xf>
    <xf numFmtId="0" fontId="0" fillId="0" borderId="67" xfId="0" applyFont="1" applyBorder="1" applyAlignment="1">
      <alignment/>
    </xf>
    <xf numFmtId="0" fontId="1" fillId="0" borderId="143" xfId="0" applyFont="1" applyBorder="1" applyAlignment="1">
      <alignment horizontal="center"/>
    </xf>
    <xf numFmtId="0" fontId="1" fillId="0" borderId="144" xfId="0" applyFont="1" applyBorder="1" applyAlignment="1">
      <alignment horizontal="center"/>
    </xf>
    <xf numFmtId="0" fontId="1" fillId="0" borderId="145" xfId="0" applyFont="1" applyFill="1" applyBorder="1" applyAlignment="1">
      <alignment horizontal="center"/>
    </xf>
    <xf numFmtId="167" fontId="0" fillId="35" borderId="10" xfId="0" applyNumberFormat="1" applyFont="1" applyFill="1" applyBorder="1" applyAlignment="1" applyProtection="1">
      <alignment horizontal="center"/>
      <protection locked="0"/>
    </xf>
    <xf numFmtId="0" fontId="0" fillId="0" borderId="146" xfId="0" applyFont="1" applyFill="1" applyBorder="1" applyAlignment="1" applyProtection="1">
      <alignment horizontal="center"/>
      <protection locked="0"/>
    </xf>
    <xf numFmtId="167" fontId="0" fillId="0" borderId="147" xfId="0" applyNumberFormat="1" applyFont="1" applyFill="1" applyBorder="1" applyAlignment="1" applyProtection="1">
      <alignment horizontal="center" vertical="center"/>
      <protection/>
    </xf>
    <xf numFmtId="0" fontId="0" fillId="0" borderId="148" xfId="0" applyFont="1" applyFill="1" applyBorder="1" applyAlignment="1" applyProtection="1">
      <alignment/>
      <protection/>
    </xf>
    <xf numFmtId="0" fontId="0" fillId="0" borderId="149" xfId="0" applyFont="1" applyFill="1" applyBorder="1" applyAlignment="1" applyProtection="1">
      <alignment/>
      <protection/>
    </xf>
    <xf numFmtId="179" fontId="0" fillId="0" borderId="39" xfId="0" applyNumberFormat="1" applyFont="1" applyFill="1" applyBorder="1" applyAlignment="1" applyProtection="1">
      <alignment horizontal="center"/>
      <protection/>
    </xf>
    <xf numFmtId="0" fontId="2" fillId="0" borderId="67" xfId="0" applyFont="1" applyBorder="1" applyAlignment="1">
      <alignment/>
    </xf>
    <xf numFmtId="0" fontId="22" fillId="0" borderId="114" xfId="0" applyFont="1" applyFill="1" applyBorder="1" applyAlignment="1" applyProtection="1">
      <alignment horizontal="right"/>
      <protection/>
    </xf>
    <xf numFmtId="179" fontId="0" fillId="35" borderId="10" xfId="0" applyNumberFormat="1" applyFont="1" applyFill="1" applyBorder="1" applyAlignment="1" applyProtection="1">
      <alignment/>
      <protection locked="0"/>
    </xf>
    <xf numFmtId="39" fontId="0" fillId="0" borderId="127" xfId="0" applyNumberFormat="1" applyFont="1" applyFill="1" applyBorder="1" applyAlignment="1" applyProtection="1">
      <alignment horizontal="center"/>
      <protection/>
    </xf>
    <xf numFmtId="0" fontId="2" fillId="0" borderId="114" xfId="0" applyFont="1" applyBorder="1" applyAlignment="1">
      <alignment horizontal="right"/>
    </xf>
    <xf numFmtId="0" fontId="2" fillId="0" borderId="114" xfId="0" applyFont="1" applyFill="1" applyBorder="1" applyAlignment="1" applyProtection="1">
      <alignment horizontal="right"/>
      <protection/>
    </xf>
    <xf numFmtId="18" fontId="2" fillId="35" borderId="10" xfId="0" applyNumberFormat="1" applyFont="1" applyFill="1" applyBorder="1" applyAlignment="1" applyProtection="1">
      <alignment horizontal="center"/>
      <protection locked="0"/>
    </xf>
    <xf numFmtId="0" fontId="2" fillId="0" borderId="114" xfId="0" applyFont="1" applyBorder="1" applyAlignment="1" applyProtection="1">
      <alignment horizontal="right"/>
      <protection/>
    </xf>
    <xf numFmtId="14" fontId="2" fillId="35" borderId="10" xfId="0" applyNumberFormat="1" applyFont="1" applyFill="1" applyBorder="1" applyAlignment="1" applyProtection="1">
      <alignment horizontal="center"/>
      <protection locked="0"/>
    </xf>
    <xf numFmtId="0" fontId="2" fillId="0" borderId="85" xfId="0" applyFont="1" applyBorder="1" applyAlignment="1">
      <alignment horizontal="right"/>
    </xf>
    <xf numFmtId="0" fontId="2" fillId="0" borderId="84" xfId="0" applyFont="1" applyBorder="1" applyAlignment="1">
      <alignment/>
    </xf>
    <xf numFmtId="0" fontId="2" fillId="0" borderId="85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112" xfId="0" applyFont="1" applyBorder="1" applyAlignment="1">
      <alignment/>
    </xf>
    <xf numFmtId="0" fontId="22" fillId="0" borderId="121" xfId="0" applyFont="1" applyFill="1" applyBorder="1" applyAlignment="1" applyProtection="1">
      <alignment/>
      <protection/>
    </xf>
    <xf numFmtId="0" fontId="22" fillId="0" borderId="65" xfId="0" applyFont="1" applyBorder="1" applyAlignment="1" applyProtection="1">
      <alignment/>
      <protection/>
    </xf>
    <xf numFmtId="0" fontId="22" fillId="0" borderId="64" xfId="0" applyFon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" fontId="0" fillId="35" borderId="10" xfId="0" applyNumberFormat="1" applyFont="1" applyFill="1" applyBorder="1" applyAlignment="1" applyProtection="1">
      <alignment/>
      <protection locked="0"/>
    </xf>
    <xf numFmtId="1" fontId="0" fillId="35" borderId="10" xfId="0" applyNumberFormat="1" applyFill="1" applyBorder="1" applyAlignment="1" applyProtection="1">
      <alignment/>
      <protection locked="0"/>
    </xf>
    <xf numFmtId="168" fontId="0" fillId="0" borderId="10" xfId="0" applyNumberForma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78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72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37" borderId="22" xfId="0" applyFont="1" applyFill="1" applyBorder="1" applyAlignment="1" applyProtection="1">
      <alignment horizontal="left"/>
      <protection/>
    </xf>
    <xf numFmtId="0" fontId="2" fillId="35" borderId="12" xfId="0" applyFont="1" applyFill="1" applyBorder="1" applyAlignment="1" applyProtection="1">
      <alignment/>
      <protection locked="0"/>
    </xf>
    <xf numFmtId="49" fontId="2" fillId="35" borderId="13" xfId="0" applyNumberFormat="1" applyFont="1" applyFill="1" applyBorder="1" applyAlignment="1" applyProtection="1">
      <alignment/>
      <protection locked="0"/>
    </xf>
    <xf numFmtId="0" fontId="2" fillId="35" borderId="14" xfId="0" applyFont="1" applyFill="1" applyBorder="1" applyAlignment="1" applyProtection="1">
      <alignment/>
      <protection locked="0"/>
    </xf>
    <xf numFmtId="0" fontId="2" fillId="35" borderId="10" xfId="0" applyFont="1" applyFill="1" applyBorder="1" applyAlignment="1" applyProtection="1">
      <alignment/>
      <protection locked="0"/>
    </xf>
    <xf numFmtId="0" fontId="2" fillId="35" borderId="12" xfId="0" applyFont="1" applyFill="1" applyBorder="1" applyAlignment="1" applyProtection="1">
      <alignment horizontal="center"/>
      <protection locked="0"/>
    </xf>
    <xf numFmtId="0" fontId="0" fillId="35" borderId="28" xfId="0" applyFont="1" applyFill="1" applyBorder="1" applyAlignment="1" applyProtection="1">
      <alignment/>
      <protection locked="0"/>
    </xf>
    <xf numFmtId="0" fontId="2" fillId="40" borderId="12" xfId="0" applyFont="1" applyFill="1" applyBorder="1" applyAlignment="1" applyProtection="1">
      <alignment/>
      <protection locked="0"/>
    </xf>
    <xf numFmtId="0" fontId="2" fillId="35" borderId="96" xfId="0" applyFont="1" applyFill="1" applyBorder="1" applyAlignment="1" applyProtection="1">
      <alignment horizontal="center"/>
      <protection locked="0"/>
    </xf>
    <xf numFmtId="0" fontId="2" fillId="35" borderId="84" xfId="0" applyFont="1" applyFill="1" applyBorder="1" applyAlignment="1" applyProtection="1">
      <alignment horizontal="center"/>
      <protection locked="0"/>
    </xf>
    <xf numFmtId="0" fontId="0" fillId="35" borderId="26" xfId="0" applyFont="1" applyFill="1" applyBorder="1" applyAlignment="1" applyProtection="1">
      <alignment horizontal="center"/>
      <protection locked="0"/>
    </xf>
    <xf numFmtId="0" fontId="0" fillId="37" borderId="150" xfId="0" applyFont="1" applyFill="1" applyBorder="1" applyAlignment="1" applyProtection="1">
      <alignment horizontal="center"/>
      <protection/>
    </xf>
    <xf numFmtId="0" fontId="0" fillId="37" borderId="151" xfId="0" applyFont="1" applyFill="1" applyBorder="1" applyAlignment="1" applyProtection="1">
      <alignment horizontal="center"/>
      <protection/>
    </xf>
    <xf numFmtId="0" fontId="0" fillId="37" borderId="152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38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  <xf numFmtId="0" fontId="0" fillId="0" borderId="1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35" borderId="60" xfId="0" applyNumberFormat="1" applyFont="1" applyFill="1" applyBorder="1" applyAlignment="1" applyProtection="1">
      <alignment horizontal="center" vertical="center"/>
      <protection locked="0"/>
    </xf>
    <xf numFmtId="14" fontId="0" fillId="35" borderId="12" xfId="0" applyNumberFormat="1" applyFont="1" applyFill="1" applyBorder="1" applyAlignment="1" applyProtection="1">
      <alignment horizontal="center" vertical="center"/>
      <protection locked="0"/>
    </xf>
    <xf numFmtId="0" fontId="0" fillId="35" borderId="56" xfId="0" applyNumberFormat="1" applyFont="1" applyFill="1" applyBorder="1" applyAlignment="1" applyProtection="1">
      <alignment horizontal="center" vertical="center"/>
      <protection locked="0"/>
    </xf>
    <xf numFmtId="173" fontId="0" fillId="35" borderId="131" xfId="0" applyNumberFormat="1" applyFont="1" applyFill="1" applyBorder="1" applyAlignment="1" applyProtection="1">
      <alignment horizontal="center" vertical="center"/>
      <protection locked="0"/>
    </xf>
    <xf numFmtId="169" fontId="0" fillId="35" borderId="131" xfId="0" applyNumberFormat="1" applyFont="1" applyFill="1" applyBorder="1" applyAlignment="1" applyProtection="1">
      <alignment horizontal="center" vertical="center"/>
      <protection locked="0"/>
    </xf>
    <xf numFmtId="37" fontId="0" fillId="35" borderId="30" xfId="0" applyNumberFormat="1" applyFont="1" applyFill="1" applyBorder="1" applyAlignment="1" applyProtection="1">
      <alignment horizontal="center" vertical="center"/>
      <protection locked="0"/>
    </xf>
    <xf numFmtId="173" fontId="0" fillId="35" borderId="30" xfId="0" applyNumberFormat="1" applyFont="1" applyFill="1" applyBorder="1" applyAlignment="1" applyProtection="1">
      <alignment horizontal="center" vertical="center"/>
      <protection locked="0"/>
    </xf>
    <xf numFmtId="0" fontId="0" fillId="35" borderId="30" xfId="0" applyFont="1" applyFill="1" applyBorder="1" applyAlignment="1" applyProtection="1">
      <alignment horizontal="center" vertical="center"/>
      <protection locked="0"/>
    </xf>
    <xf numFmtId="0" fontId="0" fillId="35" borderId="150" xfId="0" applyNumberFormat="1" applyFont="1" applyFill="1" applyBorder="1" applyAlignment="1" applyProtection="1">
      <alignment horizontal="center" vertical="center"/>
      <protection locked="0"/>
    </xf>
    <xf numFmtId="20" fontId="0" fillId="35" borderId="151" xfId="0" applyNumberFormat="1" applyFont="1" applyFill="1" applyBorder="1" applyAlignment="1" applyProtection="1">
      <alignment horizontal="center" vertical="center"/>
      <protection locked="0"/>
    </xf>
    <xf numFmtId="169" fontId="0" fillId="35" borderId="152" xfId="0" applyNumberFormat="1" applyFont="1" applyFill="1" applyBorder="1" applyAlignment="1" applyProtection="1">
      <alignment horizontal="center" vertical="center"/>
      <protection locked="0"/>
    </xf>
    <xf numFmtId="37" fontId="0" fillId="35" borderId="46" xfId="0" applyNumberFormat="1" applyFont="1" applyFill="1" applyBorder="1" applyAlignment="1" applyProtection="1">
      <alignment horizontal="center" vertical="center"/>
      <protection locked="0"/>
    </xf>
    <xf numFmtId="173" fontId="0" fillId="35" borderId="46" xfId="0" applyNumberFormat="1" applyFont="1" applyFill="1" applyBorder="1" applyAlignment="1" applyProtection="1">
      <alignment horizontal="center" vertical="center"/>
      <protection locked="0"/>
    </xf>
    <xf numFmtId="0" fontId="0" fillId="35" borderId="30" xfId="0" applyNumberFormat="1" applyFont="1" applyFill="1" applyBorder="1" applyAlignment="1" applyProtection="1">
      <alignment horizontal="center" vertical="center"/>
      <protection locked="0"/>
    </xf>
    <xf numFmtId="0" fontId="0" fillId="35" borderId="10" xfId="0" applyNumberFormat="1" applyFont="1" applyFill="1" applyBorder="1" applyAlignment="1" applyProtection="1">
      <alignment horizontal="center" vertical="center"/>
      <protection locked="0"/>
    </xf>
    <xf numFmtId="14" fontId="0" fillId="35" borderId="11" xfId="0" applyNumberFormat="1" applyFont="1" applyFill="1" applyBorder="1" applyAlignment="1" applyProtection="1">
      <alignment horizontal="center" vertical="center"/>
      <protection locked="0"/>
    </xf>
    <xf numFmtId="167" fontId="0" fillId="0" borderId="10" xfId="0" applyNumberFormat="1" applyFont="1" applyFill="1" applyBorder="1" applyAlignment="1" applyProtection="1">
      <alignment horizontal="center"/>
      <protection/>
    </xf>
    <xf numFmtId="176" fontId="0" fillId="35" borderId="153" xfId="0" applyNumberFormat="1" applyFont="1" applyFill="1" applyBorder="1" applyAlignment="1" applyProtection="1">
      <alignment horizontal="center" vertical="center"/>
      <protection locked="0"/>
    </xf>
    <xf numFmtId="176" fontId="0" fillId="35" borderId="154" xfId="0" applyNumberFormat="1" applyFont="1" applyFill="1" applyBorder="1" applyAlignment="1" applyProtection="1">
      <alignment horizontal="center" vertical="center"/>
      <protection locked="0"/>
    </xf>
    <xf numFmtId="176" fontId="0" fillId="35" borderId="155" xfId="0" applyNumberFormat="1" applyFont="1" applyFill="1" applyBorder="1" applyAlignment="1" applyProtection="1">
      <alignment horizontal="center" vertical="center"/>
      <protection locked="0"/>
    </xf>
    <xf numFmtId="176" fontId="0" fillId="35" borderId="156" xfId="0" applyNumberFormat="1" applyFont="1" applyFill="1" applyBorder="1" applyAlignment="1" applyProtection="1">
      <alignment horizontal="center" vertical="center"/>
      <protection locked="0"/>
    </xf>
    <xf numFmtId="0" fontId="0" fillId="35" borderId="131" xfId="0" applyNumberFormat="1" applyFont="1" applyFill="1" applyBorder="1" applyAlignment="1" applyProtection="1">
      <alignment horizontal="center" vertical="center"/>
      <protection locked="0"/>
    </xf>
    <xf numFmtId="173" fontId="0" fillId="35" borderId="26" xfId="0" applyNumberFormat="1" applyFont="1" applyFill="1" applyBorder="1" applyAlignment="1" applyProtection="1">
      <alignment horizontal="center" vertical="center"/>
      <protection locked="0"/>
    </xf>
    <xf numFmtId="169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7" borderId="0" xfId="0" applyFont="1" applyFill="1" applyAlignment="1">
      <alignment/>
    </xf>
    <xf numFmtId="1" fontId="1" fillId="0" borderId="114" xfId="0" applyNumberFormat="1" applyFont="1" applyFill="1" applyBorder="1" applyAlignment="1" applyProtection="1">
      <alignment horizontal="center"/>
      <protection/>
    </xf>
    <xf numFmtId="0" fontId="19" fillId="35" borderId="0" xfId="0" applyFont="1" applyFill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9" xfId="0" applyFont="1" applyBorder="1" applyAlignment="1" applyProtection="1">
      <alignment horizontal="right" vertical="center"/>
      <protection/>
    </xf>
    <xf numFmtId="0" fontId="0" fillId="0" borderId="58" xfId="0" applyBorder="1" applyAlignment="1" applyProtection="1">
      <alignment horizontal="right" vertical="center"/>
      <protection/>
    </xf>
    <xf numFmtId="0" fontId="0" fillId="0" borderId="67" xfId="0" applyBorder="1" applyAlignment="1" applyProtection="1">
      <alignment horizontal="right" vertical="center"/>
      <protection/>
    </xf>
    <xf numFmtId="0" fontId="20" fillId="35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/>
      <protection/>
    </xf>
    <xf numFmtId="0" fontId="1" fillId="0" borderId="110" xfId="0" applyFont="1" applyBorder="1" applyAlignment="1" applyProtection="1">
      <alignment horizontal="center"/>
      <protection/>
    </xf>
    <xf numFmtId="0" fontId="0" fillId="0" borderId="110" xfId="0" applyFont="1" applyBorder="1" applyAlignment="1" applyProtection="1">
      <alignment/>
      <protection/>
    </xf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157" xfId="0" applyFont="1" applyFill="1" applyBorder="1" applyAlignment="1" applyProtection="1">
      <alignment horizontal="center"/>
      <protection/>
    </xf>
    <xf numFmtId="0" fontId="0" fillId="0" borderId="158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2" fillId="0" borderId="110" xfId="0" applyFont="1" applyFill="1" applyBorder="1" applyAlignment="1" applyProtection="1">
      <alignment horizontal="center"/>
      <protection/>
    </xf>
    <xf numFmtId="0" fontId="0" fillId="0" borderId="110" xfId="0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110" xfId="0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10" xfId="0" applyFont="1" applyBorder="1" applyAlignment="1" applyProtection="1">
      <alignment horizontal="center"/>
      <protection/>
    </xf>
    <xf numFmtId="0" fontId="0" fillId="0" borderId="93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14" fontId="1" fillId="35" borderId="17" xfId="0" applyNumberFormat="1" applyFont="1" applyFill="1" applyBorder="1" applyAlignment="1" applyProtection="1">
      <alignment horizontal="center"/>
      <protection locked="0"/>
    </xf>
    <xf numFmtId="14" fontId="1" fillId="35" borderId="28" xfId="0" applyNumberFormat="1" applyFont="1" applyFill="1" applyBorder="1" applyAlignment="1" applyProtection="1">
      <alignment/>
      <protection locked="0"/>
    </xf>
    <xf numFmtId="0" fontId="38" fillId="35" borderId="0" xfId="0" applyFont="1" applyFill="1" applyAlignment="1" applyProtection="1">
      <alignment horizontal="center"/>
      <protection/>
    </xf>
    <xf numFmtId="0" fontId="39" fillId="35" borderId="0" xfId="0" applyFont="1" applyFill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59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5</xdr:row>
      <xdr:rowOff>57150</xdr:rowOff>
    </xdr:from>
    <xdr:to>
      <xdr:col>9</xdr:col>
      <xdr:colOff>47625</xdr:colOff>
      <xdr:row>7</xdr:row>
      <xdr:rowOff>0</xdr:rowOff>
    </xdr:to>
    <xdr:sp macro="[0]!gotodatasheet">
      <xdr:nvSpPr>
        <xdr:cNvPr id="1" name="Rectangle 11"/>
        <xdr:cNvSpPr>
          <a:spLocks/>
        </xdr:cNvSpPr>
      </xdr:nvSpPr>
      <xdr:spPr>
        <a:xfrm>
          <a:off x="4162425" y="1000125"/>
          <a:ext cx="13716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</a:t>
          </a:r>
        </a:p>
      </xdr:txBody>
    </xdr:sp>
    <xdr:clientData/>
  </xdr:twoCellAnchor>
  <xdr:twoCellAnchor>
    <xdr:from>
      <xdr:col>6</xdr:col>
      <xdr:colOff>504825</xdr:colOff>
      <xdr:row>2</xdr:row>
      <xdr:rowOff>38100</xdr:rowOff>
    </xdr:from>
    <xdr:to>
      <xdr:col>9</xdr:col>
      <xdr:colOff>47625</xdr:colOff>
      <xdr:row>3</xdr:row>
      <xdr:rowOff>133350</xdr:rowOff>
    </xdr:to>
    <xdr:sp macro="[0]!gotofinalsheet">
      <xdr:nvSpPr>
        <xdr:cNvPr id="2" name="Rectangle 3"/>
        <xdr:cNvSpPr>
          <a:spLocks/>
        </xdr:cNvSpPr>
      </xdr:nvSpPr>
      <xdr:spPr>
        <a:xfrm>
          <a:off x="4162425" y="495300"/>
          <a:ext cx="1371600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Final</a:t>
          </a:r>
        </a:p>
      </xdr:txBody>
    </xdr:sp>
    <xdr:clientData/>
  </xdr:twoCellAnchor>
  <xdr:twoCellAnchor>
    <xdr:from>
      <xdr:col>0</xdr:col>
      <xdr:colOff>476250</xdr:colOff>
      <xdr:row>2</xdr:row>
      <xdr:rowOff>38100</xdr:rowOff>
    </xdr:from>
    <xdr:to>
      <xdr:col>3</xdr:col>
      <xdr:colOff>19050</xdr:colOff>
      <xdr:row>3</xdr:row>
      <xdr:rowOff>142875</xdr:rowOff>
    </xdr:to>
    <xdr:sp macro="[0]!gotoinputsheet">
      <xdr:nvSpPr>
        <xdr:cNvPr id="3" name="Rectangle 1"/>
        <xdr:cNvSpPr>
          <a:spLocks/>
        </xdr:cNvSpPr>
      </xdr:nvSpPr>
      <xdr:spPr>
        <a:xfrm>
          <a:off x="476250" y="495300"/>
          <a:ext cx="13716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Input Area</a:t>
          </a:r>
        </a:p>
      </xdr:txBody>
    </xdr:sp>
    <xdr:clientData/>
  </xdr:twoCellAnchor>
  <xdr:twoCellAnchor>
    <xdr:from>
      <xdr:col>0</xdr:col>
      <xdr:colOff>476250</xdr:colOff>
      <xdr:row>17</xdr:row>
      <xdr:rowOff>104775</xdr:rowOff>
    </xdr:from>
    <xdr:to>
      <xdr:col>3</xdr:col>
      <xdr:colOff>19050</xdr:colOff>
      <xdr:row>19</xdr:row>
      <xdr:rowOff>47625</xdr:rowOff>
    </xdr:to>
    <xdr:sp macro="[0]!gotothermalsheet">
      <xdr:nvSpPr>
        <xdr:cNvPr id="4" name="Rectangle 2"/>
        <xdr:cNvSpPr>
          <a:spLocks/>
        </xdr:cNvSpPr>
      </xdr:nvSpPr>
      <xdr:spPr>
        <a:xfrm>
          <a:off x="476250" y="2990850"/>
          <a:ext cx="13716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Thermal</a:t>
          </a:r>
        </a:p>
      </xdr:txBody>
    </xdr:sp>
    <xdr:clientData/>
  </xdr:twoCellAnchor>
  <xdr:twoCellAnchor>
    <xdr:from>
      <xdr:col>0</xdr:col>
      <xdr:colOff>476250</xdr:colOff>
      <xdr:row>20</xdr:row>
      <xdr:rowOff>85725</xdr:rowOff>
    </xdr:from>
    <xdr:to>
      <xdr:col>3</xdr:col>
      <xdr:colOff>19050</xdr:colOff>
      <xdr:row>23</xdr:row>
      <xdr:rowOff>57150</xdr:rowOff>
    </xdr:to>
    <xdr:sp macro="[0]!gotosingletesheet">
      <xdr:nvSpPr>
        <xdr:cNvPr id="5" name="Rectangle 4"/>
        <xdr:cNvSpPr>
          <a:spLocks/>
        </xdr:cNvSpPr>
      </xdr:nvSpPr>
      <xdr:spPr>
        <a:xfrm>
          <a:off x="476250" y="3457575"/>
          <a:ext cx="1371600" cy="4572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Singlet Elongations</a:t>
          </a:r>
        </a:p>
      </xdr:txBody>
    </xdr:sp>
    <xdr:clientData/>
  </xdr:twoCellAnchor>
  <xdr:twoCellAnchor>
    <xdr:from>
      <xdr:col>0</xdr:col>
      <xdr:colOff>476250</xdr:colOff>
      <xdr:row>5</xdr:row>
      <xdr:rowOff>28575</xdr:rowOff>
    </xdr:from>
    <xdr:to>
      <xdr:col>3</xdr:col>
      <xdr:colOff>19050</xdr:colOff>
      <xdr:row>8</xdr:row>
      <xdr:rowOff>9525</xdr:rowOff>
    </xdr:to>
    <xdr:sp macro="[0]!gotosetupbminputsheet">
      <xdr:nvSpPr>
        <xdr:cNvPr id="6" name="Rectangle 2"/>
        <xdr:cNvSpPr>
          <a:spLocks/>
        </xdr:cNvSpPr>
      </xdr:nvSpPr>
      <xdr:spPr>
        <a:xfrm>
          <a:off x="476250" y="971550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Setup Beam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Input Area</a:t>
          </a:r>
        </a:p>
      </xdr:txBody>
    </xdr:sp>
    <xdr:clientData/>
  </xdr:twoCellAnchor>
  <xdr:twoCellAnchor>
    <xdr:from>
      <xdr:col>0</xdr:col>
      <xdr:colOff>476250</xdr:colOff>
      <xdr:row>9</xdr:row>
      <xdr:rowOff>47625</xdr:rowOff>
    </xdr:from>
    <xdr:to>
      <xdr:col>3</xdr:col>
      <xdr:colOff>19050</xdr:colOff>
      <xdr:row>12</xdr:row>
      <xdr:rowOff>28575</xdr:rowOff>
    </xdr:to>
    <xdr:sp macro="[0]!gotoanchmovesheet">
      <xdr:nvSpPr>
        <xdr:cNvPr id="7" name="Rectangle 2"/>
        <xdr:cNvSpPr>
          <a:spLocks/>
        </xdr:cNvSpPr>
      </xdr:nvSpPr>
      <xdr:spPr>
        <a:xfrm>
          <a:off x="476250" y="1638300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Anchorage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Movement</a:t>
          </a:r>
        </a:p>
      </xdr:txBody>
    </xdr:sp>
    <xdr:clientData/>
  </xdr:twoCellAnchor>
  <xdr:twoCellAnchor>
    <xdr:from>
      <xdr:col>0</xdr:col>
      <xdr:colOff>476250</xdr:colOff>
      <xdr:row>13</xdr:row>
      <xdr:rowOff>66675</xdr:rowOff>
    </xdr:from>
    <xdr:to>
      <xdr:col>3</xdr:col>
      <xdr:colOff>19050</xdr:colOff>
      <xdr:row>16</xdr:row>
      <xdr:rowOff>66675</xdr:rowOff>
    </xdr:to>
    <xdr:sp macro="[0]!gotoselfstresssheet">
      <xdr:nvSpPr>
        <xdr:cNvPr id="8" name="Rectangle 2"/>
        <xdr:cNvSpPr>
          <a:spLocks/>
        </xdr:cNvSpPr>
      </xdr:nvSpPr>
      <xdr:spPr>
        <a:xfrm>
          <a:off x="476250" y="2305050"/>
          <a:ext cx="1371600" cy="4857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Self-Stressing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Bed</a:t>
          </a:r>
        </a:p>
      </xdr:txBody>
    </xdr:sp>
    <xdr:clientData/>
  </xdr:twoCellAnchor>
  <xdr:twoCellAnchor>
    <xdr:from>
      <xdr:col>0</xdr:col>
      <xdr:colOff>476250</xdr:colOff>
      <xdr:row>24</xdr:row>
      <xdr:rowOff>95250</xdr:rowOff>
    </xdr:from>
    <xdr:to>
      <xdr:col>3</xdr:col>
      <xdr:colOff>19050</xdr:colOff>
      <xdr:row>26</xdr:row>
      <xdr:rowOff>28575</xdr:rowOff>
    </xdr:to>
    <xdr:sp macro="[0]!gotosingletfsheet">
      <xdr:nvSpPr>
        <xdr:cNvPr id="9" name="Rectangle 4"/>
        <xdr:cNvSpPr>
          <a:spLocks/>
        </xdr:cNvSpPr>
      </xdr:nvSpPr>
      <xdr:spPr>
        <a:xfrm>
          <a:off x="476250" y="4114800"/>
          <a:ext cx="1371600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Singlet Forces</a:t>
          </a:r>
        </a:p>
      </xdr:txBody>
    </xdr:sp>
    <xdr:clientData/>
  </xdr:twoCellAnchor>
  <xdr:twoCellAnchor>
    <xdr:from>
      <xdr:col>3</xdr:col>
      <xdr:colOff>485775</xdr:colOff>
      <xdr:row>11</xdr:row>
      <xdr:rowOff>85725</xdr:rowOff>
    </xdr:from>
    <xdr:to>
      <xdr:col>6</xdr:col>
      <xdr:colOff>28575</xdr:colOff>
      <xdr:row>13</xdr:row>
      <xdr:rowOff>38100</xdr:rowOff>
    </xdr:to>
    <xdr:sp macro="[0]!gotopour1sheet">
      <xdr:nvSpPr>
        <xdr:cNvPr id="10" name="Rectangle 6"/>
        <xdr:cNvSpPr>
          <a:spLocks/>
        </xdr:cNvSpPr>
      </xdr:nvSpPr>
      <xdr:spPr>
        <a:xfrm>
          <a:off x="2314575" y="2000250"/>
          <a:ext cx="1371600" cy="276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1</a:t>
          </a:r>
        </a:p>
      </xdr:txBody>
    </xdr:sp>
    <xdr:clientData/>
  </xdr:twoCellAnchor>
  <xdr:twoCellAnchor>
    <xdr:from>
      <xdr:col>3</xdr:col>
      <xdr:colOff>485775</xdr:colOff>
      <xdr:row>8</xdr:row>
      <xdr:rowOff>66675</xdr:rowOff>
    </xdr:from>
    <xdr:to>
      <xdr:col>6</xdr:col>
      <xdr:colOff>28575</xdr:colOff>
      <xdr:row>10</xdr:row>
      <xdr:rowOff>9525</xdr:rowOff>
    </xdr:to>
    <xdr:sp macro="[0]!gotosourcesheet">
      <xdr:nvSpPr>
        <xdr:cNvPr id="11" name="Rectangle 8"/>
        <xdr:cNvSpPr>
          <a:spLocks/>
        </xdr:cNvSpPr>
      </xdr:nvSpPr>
      <xdr:spPr>
        <a:xfrm>
          <a:off x="2314575" y="1495425"/>
          <a:ext cx="13716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</a:p>
      </xdr:txBody>
    </xdr:sp>
    <xdr:clientData/>
  </xdr:twoCellAnchor>
  <xdr:twoCellAnchor>
    <xdr:from>
      <xdr:col>3</xdr:col>
      <xdr:colOff>485775</xdr:colOff>
      <xdr:row>20</xdr:row>
      <xdr:rowOff>85725</xdr:rowOff>
    </xdr:from>
    <xdr:to>
      <xdr:col>6</xdr:col>
      <xdr:colOff>28575</xdr:colOff>
      <xdr:row>23</xdr:row>
      <xdr:rowOff>57150</xdr:rowOff>
    </xdr:to>
    <xdr:sp macro="[0]!gotoassnsheet">
      <xdr:nvSpPr>
        <xdr:cNvPr id="12" name="Rectangle 13"/>
        <xdr:cNvSpPr>
          <a:spLocks/>
        </xdr:cNvSpPr>
      </xdr:nvSpPr>
      <xdr:spPr>
        <a:xfrm>
          <a:off x="2314575" y="3457575"/>
          <a:ext cx="1371600" cy="4572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Assignment of Materials</a:t>
          </a:r>
        </a:p>
      </xdr:txBody>
    </xdr:sp>
    <xdr:clientData/>
  </xdr:twoCellAnchor>
  <xdr:twoCellAnchor>
    <xdr:from>
      <xdr:col>3</xdr:col>
      <xdr:colOff>485775</xdr:colOff>
      <xdr:row>2</xdr:row>
      <xdr:rowOff>47625</xdr:rowOff>
    </xdr:from>
    <xdr:to>
      <xdr:col>6</xdr:col>
      <xdr:colOff>28575</xdr:colOff>
      <xdr:row>3</xdr:row>
      <xdr:rowOff>142875</xdr:rowOff>
    </xdr:to>
    <xdr:sp macro="[0]!gotoibeamten1sheet">
      <xdr:nvSpPr>
        <xdr:cNvPr id="13" name="Rectangle 14"/>
        <xdr:cNvSpPr>
          <a:spLocks/>
        </xdr:cNvSpPr>
      </xdr:nvSpPr>
      <xdr:spPr>
        <a:xfrm>
          <a:off x="2314575" y="504825"/>
          <a:ext cx="1371600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IL-Beam Ten 1</a:t>
          </a:r>
        </a:p>
      </xdr:txBody>
    </xdr:sp>
    <xdr:clientData/>
  </xdr:twoCellAnchor>
  <xdr:twoCellAnchor>
    <xdr:from>
      <xdr:col>3</xdr:col>
      <xdr:colOff>485775</xdr:colOff>
      <xdr:row>14</xdr:row>
      <xdr:rowOff>114300</xdr:rowOff>
    </xdr:from>
    <xdr:to>
      <xdr:col>6</xdr:col>
      <xdr:colOff>28575</xdr:colOff>
      <xdr:row>16</xdr:row>
      <xdr:rowOff>66675</xdr:rowOff>
    </xdr:to>
    <xdr:sp macro="[0]!gotopour2sheet">
      <xdr:nvSpPr>
        <xdr:cNvPr id="14" name="Rectangle 6"/>
        <xdr:cNvSpPr>
          <a:spLocks/>
        </xdr:cNvSpPr>
      </xdr:nvSpPr>
      <xdr:spPr>
        <a:xfrm>
          <a:off x="2314575" y="2514600"/>
          <a:ext cx="1371600" cy="276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2</a:t>
          </a:r>
        </a:p>
      </xdr:txBody>
    </xdr:sp>
    <xdr:clientData/>
  </xdr:twoCellAnchor>
  <xdr:twoCellAnchor>
    <xdr:from>
      <xdr:col>3</xdr:col>
      <xdr:colOff>485775</xdr:colOff>
      <xdr:row>17</xdr:row>
      <xdr:rowOff>123825</xdr:rowOff>
    </xdr:from>
    <xdr:to>
      <xdr:col>6</xdr:col>
      <xdr:colOff>28575</xdr:colOff>
      <xdr:row>19</xdr:row>
      <xdr:rowOff>76200</xdr:rowOff>
    </xdr:to>
    <xdr:sp macro="[0]!gotoibeamtolsheet">
      <xdr:nvSpPr>
        <xdr:cNvPr id="15" name="Rectangle 12"/>
        <xdr:cNvSpPr>
          <a:spLocks/>
        </xdr:cNvSpPr>
      </xdr:nvSpPr>
      <xdr:spPr>
        <a:xfrm>
          <a:off x="2314575" y="3009900"/>
          <a:ext cx="1371600" cy="276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Tolerance Report</a:t>
          </a:r>
        </a:p>
      </xdr:txBody>
    </xdr:sp>
    <xdr:clientData/>
  </xdr:twoCellAnchor>
  <xdr:twoCellAnchor>
    <xdr:from>
      <xdr:col>3</xdr:col>
      <xdr:colOff>485775</xdr:colOff>
      <xdr:row>5</xdr:row>
      <xdr:rowOff>85725</xdr:rowOff>
    </xdr:from>
    <xdr:to>
      <xdr:col>6</xdr:col>
      <xdr:colOff>28575</xdr:colOff>
      <xdr:row>7</xdr:row>
      <xdr:rowOff>19050</xdr:rowOff>
    </xdr:to>
    <xdr:sp macro="[0]!gotoibeamten2sheet">
      <xdr:nvSpPr>
        <xdr:cNvPr id="16" name="Rectangle 14"/>
        <xdr:cNvSpPr>
          <a:spLocks/>
        </xdr:cNvSpPr>
      </xdr:nvSpPr>
      <xdr:spPr>
        <a:xfrm>
          <a:off x="2314575" y="1028700"/>
          <a:ext cx="1371600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IL-27 Ten 1</a:t>
          </a:r>
        </a:p>
      </xdr:txBody>
    </xdr:sp>
    <xdr:clientData/>
  </xdr:twoCellAnchor>
  <xdr:twoCellAnchor>
    <xdr:from>
      <xdr:col>6</xdr:col>
      <xdr:colOff>504825</xdr:colOff>
      <xdr:row>9</xdr:row>
      <xdr:rowOff>76200</xdr:rowOff>
    </xdr:from>
    <xdr:to>
      <xdr:col>9</xdr:col>
      <xdr:colOff>47625</xdr:colOff>
      <xdr:row>12</xdr:row>
      <xdr:rowOff>57150</xdr:rowOff>
    </xdr:to>
    <xdr:sp macro="[0]!printfullibeamreport">
      <xdr:nvSpPr>
        <xdr:cNvPr id="17" name="Rectangle 18"/>
        <xdr:cNvSpPr>
          <a:spLocks/>
        </xdr:cNvSpPr>
      </xdr:nvSpPr>
      <xdr:spPr>
        <a:xfrm>
          <a:off x="4162425" y="1666875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Full Report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IL-Beam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238125</xdr:colOff>
      <xdr:row>1</xdr:row>
      <xdr:rowOff>161925</xdr:rowOff>
    </xdr:from>
    <xdr:ext cx="942975" cy="228600"/>
    <xdr:sp macro="[0]!returntomain">
      <xdr:nvSpPr>
        <xdr:cNvPr id="1" name="Rectangle 11"/>
        <xdr:cNvSpPr>
          <a:spLocks/>
        </xdr:cNvSpPr>
      </xdr:nvSpPr>
      <xdr:spPr>
        <a:xfrm>
          <a:off x="8067675" y="323850"/>
          <a:ext cx="9429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11</xdr:col>
      <xdr:colOff>104775</xdr:colOff>
      <xdr:row>3</xdr:row>
      <xdr:rowOff>133350</xdr:rowOff>
    </xdr:from>
    <xdr:ext cx="1200150" cy="228600"/>
    <xdr:sp macro="[0]!printibeamsheet">
      <xdr:nvSpPr>
        <xdr:cNvPr id="2" name="Rectangle 12"/>
        <xdr:cNvSpPr>
          <a:spLocks/>
        </xdr:cNvSpPr>
      </xdr:nvSpPr>
      <xdr:spPr>
        <a:xfrm>
          <a:off x="7934325" y="657225"/>
          <a:ext cx="12001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400050</xdr:colOff>
      <xdr:row>1</xdr:row>
      <xdr:rowOff>133350</xdr:rowOff>
    </xdr:from>
    <xdr:ext cx="942975" cy="228600"/>
    <xdr:sp macro="[0]!returntomain">
      <xdr:nvSpPr>
        <xdr:cNvPr id="1" name="Rectangle 15"/>
        <xdr:cNvSpPr>
          <a:spLocks/>
        </xdr:cNvSpPr>
      </xdr:nvSpPr>
      <xdr:spPr>
        <a:xfrm>
          <a:off x="6324600" y="295275"/>
          <a:ext cx="9429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6</xdr:col>
      <xdr:colOff>266700</xdr:colOff>
      <xdr:row>3</xdr:row>
      <xdr:rowOff>47625</xdr:rowOff>
    </xdr:from>
    <xdr:ext cx="1200150" cy="228600"/>
    <xdr:sp macro="[0]!printsourcesheet">
      <xdr:nvSpPr>
        <xdr:cNvPr id="2" name="Rectangle 17"/>
        <xdr:cNvSpPr>
          <a:spLocks/>
        </xdr:cNvSpPr>
      </xdr:nvSpPr>
      <xdr:spPr>
        <a:xfrm>
          <a:off x="6191250" y="571500"/>
          <a:ext cx="12001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247650</xdr:colOff>
      <xdr:row>1</xdr:row>
      <xdr:rowOff>38100</xdr:rowOff>
    </xdr:from>
    <xdr:ext cx="942975" cy="228600"/>
    <xdr:sp macro="[0]!returntomain">
      <xdr:nvSpPr>
        <xdr:cNvPr id="1" name="Rectangle 16"/>
        <xdr:cNvSpPr>
          <a:spLocks/>
        </xdr:cNvSpPr>
      </xdr:nvSpPr>
      <xdr:spPr>
        <a:xfrm>
          <a:off x="7762875" y="200025"/>
          <a:ext cx="9429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9</xdr:col>
      <xdr:colOff>114300</xdr:colOff>
      <xdr:row>3</xdr:row>
      <xdr:rowOff>38100</xdr:rowOff>
    </xdr:from>
    <xdr:ext cx="1200150" cy="228600"/>
    <xdr:sp macro="[0]!printpoursheet">
      <xdr:nvSpPr>
        <xdr:cNvPr id="2" name="Rectangle 18"/>
        <xdr:cNvSpPr>
          <a:spLocks/>
        </xdr:cNvSpPr>
      </xdr:nvSpPr>
      <xdr:spPr>
        <a:xfrm>
          <a:off x="7629525" y="523875"/>
          <a:ext cx="12001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9</xdr:col>
      <xdr:colOff>95250</xdr:colOff>
      <xdr:row>5</xdr:row>
      <xdr:rowOff>38100</xdr:rowOff>
    </xdr:from>
    <xdr:ext cx="1247775" cy="228600"/>
    <xdr:sp macro="[0]!SecondPourPlus">
      <xdr:nvSpPr>
        <xdr:cNvPr id="3" name="Rectangle 16"/>
        <xdr:cNvSpPr>
          <a:spLocks/>
        </xdr:cNvSpPr>
      </xdr:nvSpPr>
      <xdr:spPr>
        <a:xfrm>
          <a:off x="7610475" y="847725"/>
          <a:ext cx="12477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Erase Main Data</a:t>
          </a:r>
        </a:p>
      </xdr:txBody>
    </xdr:sp>
    <xdr:clientData fPrint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247650</xdr:colOff>
      <xdr:row>1</xdr:row>
      <xdr:rowOff>47625</xdr:rowOff>
    </xdr:from>
    <xdr:ext cx="942975" cy="228600"/>
    <xdr:sp macro="[0]!returntomain">
      <xdr:nvSpPr>
        <xdr:cNvPr id="1" name="Rectangle 16"/>
        <xdr:cNvSpPr>
          <a:spLocks/>
        </xdr:cNvSpPr>
      </xdr:nvSpPr>
      <xdr:spPr>
        <a:xfrm>
          <a:off x="7762875" y="209550"/>
          <a:ext cx="9429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9</xdr:col>
      <xdr:colOff>114300</xdr:colOff>
      <xdr:row>3</xdr:row>
      <xdr:rowOff>47625</xdr:rowOff>
    </xdr:from>
    <xdr:ext cx="1200150" cy="228600"/>
    <xdr:sp macro="[0]!printpoursheet">
      <xdr:nvSpPr>
        <xdr:cNvPr id="2" name="Rectangle 18"/>
        <xdr:cNvSpPr>
          <a:spLocks/>
        </xdr:cNvSpPr>
      </xdr:nvSpPr>
      <xdr:spPr>
        <a:xfrm>
          <a:off x="7629525" y="533400"/>
          <a:ext cx="12001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9</xdr:col>
      <xdr:colOff>95250</xdr:colOff>
      <xdr:row>5</xdr:row>
      <xdr:rowOff>47625</xdr:rowOff>
    </xdr:from>
    <xdr:ext cx="1247775" cy="238125"/>
    <xdr:sp macro="[0]!SecondPourPlus">
      <xdr:nvSpPr>
        <xdr:cNvPr id="3" name="Rectangle 16"/>
        <xdr:cNvSpPr>
          <a:spLocks/>
        </xdr:cNvSpPr>
      </xdr:nvSpPr>
      <xdr:spPr>
        <a:xfrm>
          <a:off x="7610475" y="857250"/>
          <a:ext cx="1247775" cy="2381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Erase Main Data</a:t>
          </a:r>
        </a:p>
      </xdr:txBody>
    </xdr:sp>
    <xdr:clientData fPrint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247650</xdr:colOff>
      <xdr:row>1</xdr:row>
      <xdr:rowOff>57150</xdr:rowOff>
    </xdr:from>
    <xdr:ext cx="942975" cy="228600"/>
    <xdr:sp macro="[0]!returntomain">
      <xdr:nvSpPr>
        <xdr:cNvPr id="1" name="Rectangle 13"/>
        <xdr:cNvSpPr>
          <a:spLocks/>
        </xdr:cNvSpPr>
      </xdr:nvSpPr>
      <xdr:spPr>
        <a:xfrm>
          <a:off x="6267450" y="219075"/>
          <a:ext cx="9429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8</xdr:col>
      <xdr:colOff>123825</xdr:colOff>
      <xdr:row>3</xdr:row>
      <xdr:rowOff>47625</xdr:rowOff>
    </xdr:from>
    <xdr:ext cx="1200150" cy="228600"/>
    <xdr:sp macro="[0]!printbeamsheet">
      <xdr:nvSpPr>
        <xdr:cNvPr id="2" name="Rectangle 14"/>
        <xdr:cNvSpPr>
          <a:spLocks/>
        </xdr:cNvSpPr>
      </xdr:nvSpPr>
      <xdr:spPr>
        <a:xfrm>
          <a:off x="6143625" y="571500"/>
          <a:ext cx="12001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133350</xdr:colOff>
      <xdr:row>2</xdr:row>
      <xdr:rowOff>47625</xdr:rowOff>
    </xdr:from>
    <xdr:ext cx="942975" cy="228600"/>
    <xdr:sp macro="[0]!returntomain">
      <xdr:nvSpPr>
        <xdr:cNvPr id="1" name="Rectangle 5"/>
        <xdr:cNvSpPr>
          <a:spLocks/>
        </xdr:cNvSpPr>
      </xdr:nvSpPr>
      <xdr:spPr>
        <a:xfrm>
          <a:off x="7315200" y="409575"/>
          <a:ext cx="9429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6</xdr:col>
      <xdr:colOff>609600</xdr:colOff>
      <xdr:row>4</xdr:row>
      <xdr:rowOff>47625</xdr:rowOff>
    </xdr:from>
    <xdr:ext cx="1200150" cy="228600"/>
    <xdr:sp macro="[0]!printassnsheet">
      <xdr:nvSpPr>
        <xdr:cNvPr id="2" name="Rectangle 6"/>
        <xdr:cNvSpPr>
          <a:spLocks/>
        </xdr:cNvSpPr>
      </xdr:nvSpPr>
      <xdr:spPr>
        <a:xfrm>
          <a:off x="7181850" y="733425"/>
          <a:ext cx="12001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381000</xdr:colOff>
      <xdr:row>1</xdr:row>
      <xdr:rowOff>57150</xdr:rowOff>
    </xdr:from>
    <xdr:ext cx="942975" cy="228600"/>
    <xdr:sp macro="[0]!returntomain">
      <xdr:nvSpPr>
        <xdr:cNvPr id="1" name="Rectangle 3"/>
        <xdr:cNvSpPr>
          <a:spLocks/>
        </xdr:cNvSpPr>
      </xdr:nvSpPr>
      <xdr:spPr>
        <a:xfrm>
          <a:off x="7362825" y="219075"/>
          <a:ext cx="9429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7</xdr:col>
      <xdr:colOff>247650</xdr:colOff>
      <xdr:row>3</xdr:row>
      <xdr:rowOff>38100</xdr:rowOff>
    </xdr:from>
    <xdr:ext cx="1200150" cy="228600"/>
    <xdr:sp macro="[0]!printfinalsheet">
      <xdr:nvSpPr>
        <xdr:cNvPr id="2" name="Rectangle 4"/>
        <xdr:cNvSpPr>
          <a:spLocks/>
        </xdr:cNvSpPr>
      </xdr:nvSpPr>
      <xdr:spPr>
        <a:xfrm>
          <a:off x="7229475" y="561975"/>
          <a:ext cx="12001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2</xdr:row>
      <xdr:rowOff>38100</xdr:rowOff>
    </xdr:from>
    <xdr:ext cx="942975" cy="228600"/>
    <xdr:sp macro="[0]!returntomain">
      <xdr:nvSpPr>
        <xdr:cNvPr id="1" name="Rectangle 6"/>
        <xdr:cNvSpPr>
          <a:spLocks/>
        </xdr:cNvSpPr>
      </xdr:nvSpPr>
      <xdr:spPr>
        <a:xfrm>
          <a:off x="1657350" y="495300"/>
          <a:ext cx="9429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85725</xdr:colOff>
      <xdr:row>1</xdr:row>
      <xdr:rowOff>47625</xdr:rowOff>
    </xdr:from>
    <xdr:ext cx="942975" cy="228600"/>
    <xdr:sp macro="[0]!returntomain">
      <xdr:nvSpPr>
        <xdr:cNvPr id="1" name="Rectangle 55"/>
        <xdr:cNvSpPr>
          <a:spLocks/>
        </xdr:cNvSpPr>
      </xdr:nvSpPr>
      <xdr:spPr>
        <a:xfrm>
          <a:off x="7677150" y="209550"/>
          <a:ext cx="9429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581025</xdr:colOff>
      <xdr:row>1</xdr:row>
      <xdr:rowOff>47625</xdr:rowOff>
    </xdr:from>
    <xdr:ext cx="942975" cy="228600"/>
    <xdr:sp macro="[0]!returntomain">
      <xdr:nvSpPr>
        <xdr:cNvPr id="1" name="Rectangle 11"/>
        <xdr:cNvSpPr>
          <a:spLocks/>
        </xdr:cNvSpPr>
      </xdr:nvSpPr>
      <xdr:spPr>
        <a:xfrm>
          <a:off x="7439025" y="209550"/>
          <a:ext cx="9429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7</xdr:col>
      <xdr:colOff>962025</xdr:colOff>
      <xdr:row>1</xdr:row>
      <xdr:rowOff>47625</xdr:rowOff>
    </xdr:from>
    <xdr:ext cx="1066800" cy="228600"/>
    <xdr:sp macro="[0]!printsetupbminputsheet">
      <xdr:nvSpPr>
        <xdr:cNvPr id="2" name="Rectangle 3"/>
        <xdr:cNvSpPr>
          <a:spLocks/>
        </xdr:cNvSpPr>
      </xdr:nvSpPr>
      <xdr:spPr>
        <a:xfrm>
          <a:off x="8620125" y="209550"/>
          <a:ext cx="10668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SHEET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409575</xdr:colOff>
      <xdr:row>2</xdr:row>
      <xdr:rowOff>161925</xdr:rowOff>
    </xdr:from>
    <xdr:ext cx="942975" cy="228600"/>
    <xdr:sp macro="[0]!returntomain">
      <xdr:nvSpPr>
        <xdr:cNvPr id="1" name="Rectangle 11"/>
        <xdr:cNvSpPr>
          <a:spLocks/>
        </xdr:cNvSpPr>
      </xdr:nvSpPr>
      <xdr:spPr>
        <a:xfrm>
          <a:off x="6124575" y="485775"/>
          <a:ext cx="9429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6</xdr:col>
      <xdr:colOff>276225</xdr:colOff>
      <xdr:row>4</xdr:row>
      <xdr:rowOff>123825</xdr:rowOff>
    </xdr:from>
    <xdr:ext cx="1200150" cy="238125"/>
    <xdr:sp macro="[0]!printanchmovesheet">
      <xdr:nvSpPr>
        <xdr:cNvPr id="2" name="Rectangle 3"/>
        <xdr:cNvSpPr>
          <a:spLocks/>
        </xdr:cNvSpPr>
      </xdr:nvSpPr>
      <xdr:spPr>
        <a:xfrm>
          <a:off x="5991225" y="809625"/>
          <a:ext cx="1200150" cy="2381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390525</xdr:colOff>
      <xdr:row>1</xdr:row>
      <xdr:rowOff>123825</xdr:rowOff>
    </xdr:from>
    <xdr:ext cx="942975" cy="228600"/>
    <xdr:sp macro="[0]!returntomain">
      <xdr:nvSpPr>
        <xdr:cNvPr id="1" name="Rectangle 11"/>
        <xdr:cNvSpPr>
          <a:spLocks/>
        </xdr:cNvSpPr>
      </xdr:nvSpPr>
      <xdr:spPr>
        <a:xfrm>
          <a:off x="7791450" y="285750"/>
          <a:ext cx="9429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8</xdr:col>
      <xdr:colOff>257175</xdr:colOff>
      <xdr:row>3</xdr:row>
      <xdr:rowOff>47625</xdr:rowOff>
    </xdr:from>
    <xdr:ext cx="1200150" cy="238125"/>
    <xdr:sp macro="[0]!printselfstresssheet">
      <xdr:nvSpPr>
        <xdr:cNvPr id="2" name="Rectangle 3"/>
        <xdr:cNvSpPr>
          <a:spLocks/>
        </xdr:cNvSpPr>
      </xdr:nvSpPr>
      <xdr:spPr>
        <a:xfrm>
          <a:off x="7658100" y="571500"/>
          <a:ext cx="1200150" cy="2381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257175</xdr:colOff>
      <xdr:row>3</xdr:row>
      <xdr:rowOff>47625</xdr:rowOff>
    </xdr:from>
    <xdr:ext cx="1200150" cy="228600"/>
    <xdr:sp macro="[0]!printthermalsheet">
      <xdr:nvSpPr>
        <xdr:cNvPr id="1" name="Rectangle 3"/>
        <xdr:cNvSpPr>
          <a:spLocks/>
        </xdr:cNvSpPr>
      </xdr:nvSpPr>
      <xdr:spPr>
        <a:xfrm>
          <a:off x="7077075" y="600075"/>
          <a:ext cx="12001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7</xdr:col>
      <xdr:colOff>381000</xdr:colOff>
      <xdr:row>1</xdr:row>
      <xdr:rowOff>123825</xdr:rowOff>
    </xdr:from>
    <xdr:ext cx="942975" cy="228600"/>
    <xdr:sp macro="[0]!returntomain">
      <xdr:nvSpPr>
        <xdr:cNvPr id="2" name="Rectangle 4"/>
        <xdr:cNvSpPr>
          <a:spLocks/>
        </xdr:cNvSpPr>
      </xdr:nvSpPr>
      <xdr:spPr>
        <a:xfrm>
          <a:off x="7200900" y="285750"/>
          <a:ext cx="9429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428625</xdr:colOff>
      <xdr:row>1</xdr:row>
      <xdr:rowOff>123825</xdr:rowOff>
    </xdr:from>
    <xdr:ext cx="942975" cy="228600"/>
    <xdr:sp macro="[0]!returntomain">
      <xdr:nvSpPr>
        <xdr:cNvPr id="1" name="Rectangle 11"/>
        <xdr:cNvSpPr>
          <a:spLocks/>
        </xdr:cNvSpPr>
      </xdr:nvSpPr>
      <xdr:spPr>
        <a:xfrm>
          <a:off x="6353175" y="285750"/>
          <a:ext cx="9429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7</xdr:col>
      <xdr:colOff>304800</xdr:colOff>
      <xdr:row>3</xdr:row>
      <xdr:rowOff>123825</xdr:rowOff>
    </xdr:from>
    <xdr:ext cx="1200150" cy="228600"/>
    <xdr:sp macro="[0]!printsingletelongsheet">
      <xdr:nvSpPr>
        <xdr:cNvPr id="2" name="Rectangle 13"/>
        <xdr:cNvSpPr>
          <a:spLocks/>
        </xdr:cNvSpPr>
      </xdr:nvSpPr>
      <xdr:spPr>
        <a:xfrm>
          <a:off x="6229350" y="609600"/>
          <a:ext cx="12001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428625</xdr:colOff>
      <xdr:row>1</xdr:row>
      <xdr:rowOff>133350</xdr:rowOff>
    </xdr:from>
    <xdr:ext cx="942975" cy="228600"/>
    <xdr:sp macro="[0]!returntomain">
      <xdr:nvSpPr>
        <xdr:cNvPr id="1" name="Rectangle 11"/>
        <xdr:cNvSpPr>
          <a:spLocks/>
        </xdr:cNvSpPr>
      </xdr:nvSpPr>
      <xdr:spPr>
        <a:xfrm>
          <a:off x="6762750" y="295275"/>
          <a:ext cx="9429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7</xdr:col>
      <xdr:colOff>295275</xdr:colOff>
      <xdr:row>3</xdr:row>
      <xdr:rowOff>123825</xdr:rowOff>
    </xdr:from>
    <xdr:ext cx="1200150" cy="228600"/>
    <xdr:sp macro="[0]!printsingletforcessheet">
      <xdr:nvSpPr>
        <xdr:cNvPr id="2" name="Rectangle 13"/>
        <xdr:cNvSpPr>
          <a:spLocks/>
        </xdr:cNvSpPr>
      </xdr:nvSpPr>
      <xdr:spPr>
        <a:xfrm>
          <a:off x="6629400" y="609600"/>
          <a:ext cx="12001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238125</xdr:colOff>
      <xdr:row>1</xdr:row>
      <xdr:rowOff>161925</xdr:rowOff>
    </xdr:from>
    <xdr:ext cx="942975" cy="228600"/>
    <xdr:sp macro="[0]!returntomain">
      <xdr:nvSpPr>
        <xdr:cNvPr id="1" name="Rectangle 11"/>
        <xdr:cNvSpPr>
          <a:spLocks/>
        </xdr:cNvSpPr>
      </xdr:nvSpPr>
      <xdr:spPr>
        <a:xfrm>
          <a:off x="8039100" y="323850"/>
          <a:ext cx="9429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11</xdr:col>
      <xdr:colOff>114300</xdr:colOff>
      <xdr:row>3</xdr:row>
      <xdr:rowOff>123825</xdr:rowOff>
    </xdr:from>
    <xdr:ext cx="1200150" cy="228600"/>
    <xdr:sp macro="[0]!printibeamsheet">
      <xdr:nvSpPr>
        <xdr:cNvPr id="2" name="Rectangle 12"/>
        <xdr:cNvSpPr>
          <a:spLocks/>
        </xdr:cNvSpPr>
      </xdr:nvSpPr>
      <xdr:spPr>
        <a:xfrm>
          <a:off x="7915275" y="647700"/>
          <a:ext cx="12001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7"/>
  <sheetViews>
    <sheetView tabSelected="1" zoomScalePageLayoutView="0" workbookViewId="0" topLeftCell="A1">
      <selection activeCell="L1" sqref="L1"/>
    </sheetView>
  </sheetViews>
  <sheetFormatPr defaultColWidth="9.140625" defaultRowHeight="12.75"/>
  <cols>
    <col min="1" max="16384" width="9.140625" style="112" customWidth="1"/>
  </cols>
  <sheetData>
    <row r="1" spans="1:10" ht="23.25">
      <c r="A1" s="132" t="s">
        <v>1258</v>
      </c>
      <c r="J1" s="1018" t="s">
        <v>1275</v>
      </c>
    </row>
    <row r="2" spans="1:10" ht="12.75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 ht="12.75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12.75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ht="12.75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1:10" ht="12.75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1:10" ht="12.75">
      <c r="A7" s="44"/>
      <c r="B7" s="44"/>
      <c r="C7" s="44"/>
      <c r="D7" s="44"/>
      <c r="E7" s="44"/>
      <c r="F7" s="44"/>
      <c r="G7" s="44"/>
      <c r="H7" s="44"/>
      <c r="I7" s="44"/>
      <c r="J7" s="44"/>
    </row>
    <row r="8" spans="1:10" ht="12.75">
      <c r="A8" s="44"/>
      <c r="B8" s="44"/>
      <c r="C8" s="44"/>
      <c r="D8" s="44"/>
      <c r="E8" s="44"/>
      <c r="F8" s="44"/>
      <c r="G8" s="44"/>
      <c r="H8" s="44"/>
      <c r="I8" s="44"/>
      <c r="J8" s="44"/>
    </row>
    <row r="9" spans="1:10" ht="12.75">
      <c r="A9" s="44"/>
      <c r="B9" s="44"/>
      <c r="C9" s="44"/>
      <c r="D9" s="44"/>
      <c r="E9" s="44"/>
      <c r="F9" s="44"/>
      <c r="G9" s="44"/>
      <c r="H9" s="44"/>
      <c r="I9" s="44"/>
      <c r="J9" s="44"/>
    </row>
    <row r="10" spans="1:10" ht="12.75">
      <c r="A10" s="44"/>
      <c r="B10" s="44"/>
      <c r="C10" s="44"/>
      <c r="D10" s="44"/>
      <c r="E10" s="44"/>
      <c r="F10" s="44"/>
      <c r="G10" s="44"/>
      <c r="H10" s="44"/>
      <c r="I10" s="44"/>
      <c r="J10" s="44"/>
    </row>
    <row r="11" spans="1:10" ht="12.75">
      <c r="A11" s="44"/>
      <c r="B11" s="44"/>
      <c r="C11" s="44"/>
      <c r="D11" s="44"/>
      <c r="E11" s="44"/>
      <c r="F11" s="44"/>
      <c r="G11" s="44"/>
      <c r="H11" s="44"/>
      <c r="I11" s="44"/>
      <c r="J11" s="44"/>
    </row>
    <row r="12" spans="1:10" ht="12.75">
      <c r="A12" s="44"/>
      <c r="B12" s="44"/>
      <c r="C12" s="44"/>
      <c r="D12" s="44"/>
      <c r="E12" s="44"/>
      <c r="F12" s="44"/>
      <c r="G12" s="44"/>
      <c r="H12" s="44"/>
      <c r="I12" s="44"/>
      <c r="J12" s="44"/>
    </row>
    <row r="13" spans="1:10" ht="12.75">
      <c r="A13" s="44"/>
      <c r="B13" s="44"/>
      <c r="C13" s="44"/>
      <c r="D13" s="44"/>
      <c r="E13" s="44"/>
      <c r="F13" s="44"/>
      <c r="G13" s="44"/>
      <c r="H13" s="44"/>
      <c r="I13" s="44"/>
      <c r="J13" s="44"/>
    </row>
    <row r="14" spans="1:10" ht="12.75">
      <c r="A14" s="44"/>
      <c r="B14" s="44"/>
      <c r="C14" s="44"/>
      <c r="D14" s="44"/>
      <c r="E14" s="44"/>
      <c r="F14" s="44"/>
      <c r="G14" s="44"/>
      <c r="H14" s="44"/>
      <c r="I14" s="44"/>
      <c r="J14" s="44"/>
    </row>
    <row r="15" spans="1:10" ht="12.75">
      <c r="A15" s="44"/>
      <c r="B15" s="44"/>
      <c r="C15" s="44"/>
      <c r="D15" s="44"/>
      <c r="E15" s="44"/>
      <c r="F15" s="44"/>
      <c r="G15" s="44"/>
      <c r="H15" s="44"/>
      <c r="I15" s="44"/>
      <c r="J15" s="44"/>
    </row>
    <row r="16" spans="1:10" ht="12.75">
      <c r="A16" s="44"/>
      <c r="B16" s="44"/>
      <c r="C16" s="44"/>
      <c r="D16" s="44"/>
      <c r="E16" s="44"/>
      <c r="F16" s="44"/>
      <c r="G16" s="44"/>
      <c r="H16" s="44"/>
      <c r="I16" s="44"/>
      <c r="J16" s="44"/>
    </row>
    <row r="17" spans="1:10" ht="12.75">
      <c r="A17" s="44"/>
      <c r="B17" s="44"/>
      <c r="C17" s="44"/>
      <c r="D17" s="44"/>
      <c r="E17" s="44"/>
      <c r="F17" s="44"/>
      <c r="G17" s="44"/>
      <c r="H17" s="44"/>
      <c r="I17" s="44"/>
      <c r="J17" s="44"/>
    </row>
    <row r="18" spans="1:10" ht="12.75">
      <c r="A18" s="44"/>
      <c r="B18" s="44"/>
      <c r="C18" s="44"/>
      <c r="D18" s="44"/>
      <c r="E18" s="44"/>
      <c r="F18" s="44"/>
      <c r="G18" s="44"/>
      <c r="H18" s="44"/>
      <c r="I18" s="44"/>
      <c r="J18" s="44"/>
    </row>
    <row r="19" spans="1:10" ht="12.75">
      <c r="A19" s="44"/>
      <c r="B19" s="44"/>
      <c r="C19" s="44"/>
      <c r="D19" s="44"/>
      <c r="E19" s="44"/>
      <c r="F19" s="44"/>
      <c r="G19" s="44"/>
      <c r="H19" s="44"/>
      <c r="I19" s="44"/>
      <c r="J19" s="44"/>
    </row>
    <row r="20" spans="1:10" ht="12.75">
      <c r="A20" s="44"/>
      <c r="B20" s="44"/>
      <c r="C20" s="44"/>
      <c r="D20" s="44"/>
      <c r="E20" s="44"/>
      <c r="F20" s="44"/>
      <c r="G20" s="44"/>
      <c r="H20" s="44"/>
      <c r="I20" s="44"/>
      <c r="J20" s="44"/>
    </row>
    <row r="21" spans="1:10" ht="12.75">
      <c r="A21" s="44"/>
      <c r="B21" s="44"/>
      <c r="C21" s="44"/>
      <c r="D21" s="44"/>
      <c r="E21" s="44"/>
      <c r="F21" s="44"/>
      <c r="G21" s="44"/>
      <c r="H21" s="44"/>
      <c r="I21" s="44"/>
      <c r="J21" s="44"/>
    </row>
    <row r="22" spans="1:10" ht="12.75">
      <c r="A22" s="44"/>
      <c r="B22" s="44"/>
      <c r="C22" s="44"/>
      <c r="D22" s="44"/>
      <c r="E22" s="44"/>
      <c r="F22" s="44"/>
      <c r="G22" s="44"/>
      <c r="H22" s="44"/>
      <c r="I22" s="44"/>
      <c r="J22" s="44"/>
    </row>
    <row r="23" spans="1:10" ht="12.75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4" spans="1:10" ht="12.75">
      <c r="A24" s="44"/>
      <c r="B24" s="44"/>
      <c r="C24" s="44"/>
      <c r="D24" s="44"/>
      <c r="E24" s="44"/>
      <c r="F24" s="44"/>
      <c r="G24" s="44"/>
      <c r="H24" s="44"/>
      <c r="I24" s="44"/>
      <c r="J24" s="44"/>
    </row>
    <row r="25" spans="1:10" ht="12.75">
      <c r="A25" s="44"/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12.75">
      <c r="A26" s="44"/>
      <c r="B26" s="44"/>
      <c r="C26" s="44"/>
      <c r="D26" s="44"/>
      <c r="E26" s="44"/>
      <c r="F26" s="44"/>
      <c r="G26" s="44"/>
      <c r="H26" s="44"/>
      <c r="I26" s="44"/>
      <c r="J26" s="44"/>
    </row>
    <row r="27" spans="1:10" ht="12.75">
      <c r="A27" s="44"/>
      <c r="B27" s="44"/>
      <c r="C27" s="44"/>
      <c r="D27" s="44"/>
      <c r="E27" s="44"/>
      <c r="F27" s="44"/>
      <c r="G27" s="44"/>
      <c r="H27" s="44"/>
      <c r="I27" s="44"/>
      <c r="J27" s="44"/>
    </row>
  </sheetData>
  <sheetProtection sheet="1"/>
  <printOptions/>
  <pageMargins left="0.75" right="0.75" top="1" bottom="1" header="0.5" footer="0.5"/>
  <pageSetup horizontalDpi="600" verticalDpi="600" orientation="portrait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V122"/>
  <sheetViews>
    <sheetView zoomScalePageLayoutView="0" workbookViewId="0" topLeftCell="A1">
      <selection activeCell="A1" sqref="A1:C1"/>
    </sheetView>
  </sheetViews>
  <sheetFormatPr defaultColWidth="9.140625" defaultRowHeight="12.75"/>
  <cols>
    <col min="2" max="2" width="9.8515625" style="0" customWidth="1"/>
    <col min="4" max="4" width="15.421875" style="0" customWidth="1"/>
    <col min="5" max="5" width="10.140625" style="0" customWidth="1"/>
    <col min="6" max="6" width="11.57421875" style="0" bestFit="1" customWidth="1"/>
    <col min="7" max="7" width="12.421875" style="0" customWidth="1"/>
    <col min="8" max="8" width="11.57421875" style="0" customWidth="1"/>
    <col min="11" max="11" width="9.8515625" style="0" customWidth="1"/>
    <col min="12" max="12" width="10.57421875" style="0" customWidth="1"/>
    <col min="14" max="14" width="10.7109375" style="0" customWidth="1"/>
    <col min="15" max="16" width="12.7109375" style="0" customWidth="1"/>
  </cols>
  <sheetData>
    <row r="1" spans="1:22" ht="12.75">
      <c r="A1" s="1020" t="s">
        <v>835</v>
      </c>
      <c r="B1" s="1026"/>
      <c r="C1" s="1026"/>
      <c r="D1" s="65"/>
      <c r="H1" s="65"/>
      <c r="I1" s="65"/>
      <c r="J1" s="65"/>
      <c r="K1" s="61"/>
      <c r="L1" s="61"/>
      <c r="M1" s="61"/>
      <c r="N1" s="61"/>
      <c r="O1" s="61"/>
      <c r="P1" s="8"/>
      <c r="Q1" s="21"/>
      <c r="R1" s="21"/>
      <c r="S1" s="18"/>
      <c r="T1" s="18"/>
      <c r="U1" s="18"/>
      <c r="V1" s="18"/>
    </row>
    <row r="2" spans="1:22" ht="15.75">
      <c r="A2" s="695" t="s">
        <v>1268</v>
      </c>
      <c r="B2" s="668"/>
      <c r="C2" s="668"/>
      <c r="D2" s="668"/>
      <c r="E2" s="668"/>
      <c r="F2" s="668"/>
      <c r="G2" s="668"/>
      <c r="H2" s="668"/>
      <c r="I2" s="668"/>
      <c r="J2" s="668"/>
      <c r="K2" s="61"/>
      <c r="L2" s="61"/>
      <c r="M2" s="61"/>
      <c r="N2" s="61"/>
      <c r="O2" s="61"/>
      <c r="P2" s="8"/>
      <c r="Q2" s="21"/>
      <c r="R2" s="21"/>
      <c r="S2" s="18"/>
      <c r="T2" s="18"/>
      <c r="U2" s="18"/>
      <c r="V2" s="18"/>
    </row>
    <row r="3" spans="1:22" ht="12.75">
      <c r="A3" s="320"/>
      <c r="B3" s="696"/>
      <c r="C3" s="65"/>
      <c r="D3" s="320"/>
      <c r="E3" s="65"/>
      <c r="F3" s="65"/>
      <c r="G3" s="320"/>
      <c r="H3" s="65"/>
      <c r="I3" s="668"/>
      <c r="J3" s="668"/>
      <c r="K3" s="65"/>
      <c r="L3" s="65"/>
      <c r="M3" s="65"/>
      <c r="N3" s="65"/>
      <c r="O3" s="65"/>
      <c r="P3" s="8"/>
      <c r="Q3" s="21"/>
      <c r="R3" s="21"/>
      <c r="S3" s="18"/>
      <c r="T3" s="18"/>
      <c r="U3" s="18"/>
      <c r="V3" s="18"/>
    </row>
    <row r="4" spans="1:22" ht="12.75">
      <c r="A4" s="65"/>
      <c r="B4" s="239"/>
      <c r="C4" s="65"/>
      <c r="D4" s="320"/>
      <c r="E4" s="65"/>
      <c r="F4" s="65"/>
      <c r="G4" s="65"/>
      <c r="H4" s="65"/>
      <c r="I4" s="668"/>
      <c r="J4" s="668"/>
      <c r="K4" s="65"/>
      <c r="L4" s="65"/>
      <c r="M4" s="65"/>
      <c r="N4" s="65"/>
      <c r="O4" s="65"/>
      <c r="P4" s="8"/>
      <c r="Q4" s="21"/>
      <c r="R4" s="21"/>
      <c r="S4" s="18"/>
      <c r="T4" s="18"/>
      <c r="U4" s="18"/>
      <c r="V4" s="18"/>
    </row>
    <row r="5" spans="1:22" ht="12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8"/>
      <c r="Q5" s="21"/>
      <c r="R5" s="21"/>
      <c r="S5" s="18"/>
      <c r="T5" s="18"/>
      <c r="U5" s="18"/>
      <c r="V5" s="18"/>
    </row>
    <row r="6" spans="1:22" ht="12.75">
      <c r="A6" s="61" t="s">
        <v>113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8"/>
      <c r="Q6" s="21"/>
      <c r="R6" s="21"/>
      <c r="S6" s="18"/>
      <c r="T6" s="18"/>
      <c r="U6" s="18"/>
      <c r="V6" s="18"/>
    </row>
    <row r="7" spans="1:22" ht="4.5" customHeight="1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65"/>
      <c r="Q7" s="21"/>
      <c r="R7" s="21"/>
      <c r="S7" s="18"/>
      <c r="T7" s="18"/>
      <c r="U7" s="18"/>
      <c r="V7" s="18"/>
    </row>
    <row r="8" spans="1:22" ht="12.75">
      <c r="A8" s="61" t="s">
        <v>1257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8" t="str">
        <f>Main!J1</f>
        <v>Revised 4/22/16</v>
      </c>
      <c r="O8" s="65"/>
      <c r="P8" s="65"/>
      <c r="Q8" s="21"/>
      <c r="R8" s="21"/>
      <c r="S8" s="18"/>
      <c r="T8" s="18"/>
      <c r="U8" s="18"/>
      <c r="V8" s="18"/>
    </row>
    <row r="9" spans="1:22" ht="15.75">
      <c r="A9" s="1027" t="s">
        <v>84</v>
      </c>
      <c r="B9" s="1028"/>
      <c r="C9" s="1028"/>
      <c r="D9" s="1028"/>
      <c r="E9" s="1028"/>
      <c r="F9" s="1028"/>
      <c r="G9" s="1028"/>
      <c r="H9" s="1028"/>
      <c r="I9" s="1028"/>
      <c r="J9" s="1028"/>
      <c r="K9" s="1028"/>
      <c r="L9" s="1028"/>
      <c r="M9" s="1028"/>
      <c r="N9" s="1028"/>
      <c r="O9" s="1028"/>
      <c r="P9" s="53"/>
      <c r="Q9" s="21"/>
      <c r="R9" s="21"/>
      <c r="S9" s="18"/>
      <c r="T9" s="18"/>
      <c r="U9" s="18"/>
      <c r="V9" s="18"/>
    </row>
    <row r="10" spans="1:22" ht="12.75">
      <c r="A10" s="1029" t="s">
        <v>100</v>
      </c>
      <c r="B10" s="1028"/>
      <c r="C10" s="1028"/>
      <c r="D10" s="1028"/>
      <c r="E10" s="1028"/>
      <c r="F10" s="1028"/>
      <c r="G10" s="1028"/>
      <c r="H10" s="1028"/>
      <c r="I10" s="1028"/>
      <c r="J10" s="1028"/>
      <c r="K10" s="1028"/>
      <c r="L10" s="1028"/>
      <c r="M10" s="1028"/>
      <c r="N10" s="1028"/>
      <c r="O10" s="1028"/>
      <c r="P10" s="322"/>
      <c r="Q10" s="21"/>
      <c r="R10" s="21"/>
      <c r="S10" s="18"/>
      <c r="T10" s="18"/>
      <c r="U10" s="18"/>
      <c r="V10" s="18"/>
    </row>
    <row r="11" spans="1:22" ht="12.75">
      <c r="A11" s="1029" t="s">
        <v>101</v>
      </c>
      <c r="B11" s="1028"/>
      <c r="C11" s="1028"/>
      <c r="D11" s="1028"/>
      <c r="E11" s="1028"/>
      <c r="F11" s="1028"/>
      <c r="G11" s="1028"/>
      <c r="H11" s="1028"/>
      <c r="I11" s="1028"/>
      <c r="J11" s="1028"/>
      <c r="K11" s="1028"/>
      <c r="L11" s="1028"/>
      <c r="M11" s="1028"/>
      <c r="N11" s="1028"/>
      <c r="O11" s="1028"/>
      <c r="P11" s="322"/>
      <c r="Q11" s="21"/>
      <c r="R11" s="21"/>
      <c r="S11" s="18"/>
      <c r="T11" s="18"/>
      <c r="U11" s="18"/>
      <c r="V11" s="18"/>
    </row>
    <row r="12" spans="1:22" ht="12.75">
      <c r="A12" s="1032" t="s">
        <v>1245</v>
      </c>
      <c r="B12" s="1037"/>
      <c r="C12" s="1037"/>
      <c r="D12" s="1037"/>
      <c r="E12" s="1037"/>
      <c r="F12" s="1037"/>
      <c r="G12" s="1037"/>
      <c r="H12" s="1037"/>
      <c r="I12" s="1037"/>
      <c r="J12" s="1037"/>
      <c r="K12" s="1037"/>
      <c r="L12" s="1037"/>
      <c r="M12" s="1037"/>
      <c r="N12" s="1037"/>
      <c r="O12" s="1037"/>
      <c r="P12" s="322"/>
      <c r="Q12" s="21"/>
      <c r="R12" s="21"/>
      <c r="S12" s="18"/>
      <c r="T12" s="18"/>
      <c r="U12" s="18"/>
      <c r="V12" s="18"/>
    </row>
    <row r="13" spans="1:22" ht="12.75">
      <c r="A13" s="458"/>
      <c r="B13" s="458"/>
      <c r="C13" s="458"/>
      <c r="D13" s="461" t="s">
        <v>954</v>
      </c>
      <c r="E13" s="462">
        <f>IF(Input!$B$7="","",Input!$B$7)</f>
      </c>
      <c r="F13" s="463"/>
      <c r="G13" s="1023" t="s">
        <v>106</v>
      </c>
      <c r="H13" s="465">
        <v>1</v>
      </c>
      <c r="I13" s="687"/>
      <c r="J13" s="465">
        <v>5</v>
      </c>
      <c r="K13" s="687"/>
      <c r="L13" s="467" t="s">
        <v>559</v>
      </c>
      <c r="M13" s="571"/>
      <c r="N13" s="468"/>
      <c r="O13" s="300"/>
      <c r="P13" s="60"/>
      <c r="Q13" s="21"/>
      <c r="R13" s="21"/>
      <c r="S13" s="18"/>
      <c r="T13" s="18"/>
      <c r="U13" s="18"/>
      <c r="V13" s="18"/>
    </row>
    <row r="14" spans="1:22" ht="12.75">
      <c r="A14" s="458"/>
      <c r="B14" s="458"/>
      <c r="C14" s="458"/>
      <c r="D14" s="461" t="s">
        <v>102</v>
      </c>
      <c r="E14" s="462">
        <f>IF(Input!$B$8="","",Input!$B$8)</f>
      </c>
      <c r="F14" s="463"/>
      <c r="G14" s="1024"/>
      <c r="H14" s="465">
        <v>2</v>
      </c>
      <c r="I14" s="687"/>
      <c r="J14" s="465">
        <v>6</v>
      </c>
      <c r="K14" s="687"/>
      <c r="L14" s="470" t="s">
        <v>50</v>
      </c>
      <c r="M14" s="471">
        <f ca="1">TODAY()</f>
        <v>42480</v>
      </c>
      <c r="N14" s="468"/>
      <c r="O14" s="300"/>
      <c r="P14" s="60"/>
      <c r="Q14" s="21"/>
      <c r="R14" s="21"/>
      <c r="S14" s="18"/>
      <c r="T14" s="18"/>
      <c r="U14" s="18"/>
      <c r="V14" s="18"/>
    </row>
    <row r="15" spans="1:22" ht="12.75">
      <c r="A15" s="458"/>
      <c r="B15" s="458"/>
      <c r="C15" s="458"/>
      <c r="D15" s="461" t="s">
        <v>983</v>
      </c>
      <c r="E15" s="462">
        <f>IF(Input!$B$10="","",Input!$B$10)</f>
      </c>
      <c r="F15" s="463"/>
      <c r="G15" s="1024"/>
      <c r="H15" s="465">
        <v>3</v>
      </c>
      <c r="I15" s="687"/>
      <c r="J15" s="465">
        <v>7</v>
      </c>
      <c r="K15" s="687"/>
      <c r="L15" s="461" t="s">
        <v>976</v>
      </c>
      <c r="M15" s="472">
        <f>IF(Input!$B$30="","",Input!$B$30)</f>
      </c>
      <c r="N15" s="473"/>
      <c r="O15" s="300"/>
      <c r="P15" s="60"/>
      <c r="Q15" s="21"/>
      <c r="R15" s="21"/>
      <c r="S15" s="18"/>
      <c r="T15" s="18"/>
      <c r="U15" s="18"/>
      <c r="V15" s="18"/>
    </row>
    <row r="16" spans="1:22" ht="12.75">
      <c r="A16" s="458"/>
      <c r="B16" s="458"/>
      <c r="C16" s="458"/>
      <c r="D16" s="461" t="s">
        <v>955</v>
      </c>
      <c r="E16" s="462">
        <f>IF(Input!$E$5="","",Input!$E$5)</f>
      </c>
      <c r="F16" s="463"/>
      <c r="G16" s="1025"/>
      <c r="H16" s="465">
        <v>4</v>
      </c>
      <c r="I16" s="687"/>
      <c r="J16" s="465">
        <v>8</v>
      </c>
      <c r="K16" s="687"/>
      <c r="L16" s="461" t="s">
        <v>977</v>
      </c>
      <c r="M16" s="472">
        <f>IF(Input!$B$31="","",Input!$B$31)</f>
      </c>
      <c r="N16" s="473"/>
      <c r="O16" s="300"/>
      <c r="P16" s="60"/>
      <c r="Q16" s="21"/>
      <c r="R16" s="21"/>
      <c r="S16" s="18"/>
      <c r="T16" s="18"/>
      <c r="U16" s="18"/>
      <c r="V16" s="18"/>
    </row>
    <row r="17" spans="1:22" ht="12.75">
      <c r="A17" s="458"/>
      <c r="B17" s="458"/>
      <c r="C17" s="458"/>
      <c r="D17" s="475" t="s">
        <v>49</v>
      </c>
      <c r="E17" s="462">
        <f>IF(Input!$E$6="","",Input!$E$6)</f>
      </c>
      <c r="F17" s="463"/>
      <c r="G17" s="461" t="s">
        <v>1256</v>
      </c>
      <c r="H17" s="476">
        <f>IF(Input!$B$68="","",Input!$B$68)</f>
      </c>
      <c r="I17" s="477"/>
      <c r="J17" s="477"/>
      <c r="K17" s="477"/>
      <c r="L17" s="461" t="s">
        <v>972</v>
      </c>
      <c r="M17" s="472">
        <f>IF(Input!$B$32="","",Input!$B$32)</f>
      </c>
      <c r="N17" s="473"/>
      <c r="O17" s="458"/>
      <c r="P17" s="60"/>
      <c r="Q17" s="21"/>
      <c r="R17" s="21"/>
      <c r="S17" s="18"/>
      <c r="T17" s="18"/>
      <c r="U17" s="18"/>
      <c r="V17" s="18"/>
    </row>
    <row r="18" spans="1:22" ht="12.75">
      <c r="A18" s="458"/>
      <c r="B18" s="458"/>
      <c r="C18" s="458"/>
      <c r="D18" s="475" t="s">
        <v>105</v>
      </c>
      <c r="E18" s="462">
        <f>IF(Input!$E$7="","",Input!$E$7)</f>
      </c>
      <c r="F18" s="463"/>
      <c r="G18" s="461" t="s">
        <v>1255</v>
      </c>
      <c r="H18" s="476">
        <f>IF('Setup Bm Input'!$A$46="","",'Setup Bm Input'!$A$46)</f>
      </c>
      <c r="I18" s="477"/>
      <c r="J18" s="477"/>
      <c r="K18" s="477"/>
      <c r="L18" s="461" t="s">
        <v>978</v>
      </c>
      <c r="M18" s="472">
        <f>IF(Input!$B$33="","",Input!$B$33)</f>
      </c>
      <c r="N18" s="473"/>
      <c r="O18" s="458"/>
      <c r="P18" s="60"/>
      <c r="Q18" s="21"/>
      <c r="R18" s="21"/>
      <c r="S18" s="18"/>
      <c r="T18" s="18"/>
      <c r="U18" s="18"/>
      <c r="V18" s="18"/>
    </row>
    <row r="19" spans="1:22" ht="12.75">
      <c r="A19" s="458"/>
      <c r="B19" s="458"/>
      <c r="C19" s="458"/>
      <c r="D19" s="475" t="s">
        <v>48</v>
      </c>
      <c r="E19" s="462">
        <f>IF(Input!$E$8="","",Input!$E$8)</f>
      </c>
      <c r="F19" s="463"/>
      <c r="G19" s="477"/>
      <c r="H19" s="477"/>
      <c r="I19" s="477"/>
      <c r="J19" s="477"/>
      <c r="K19" s="477"/>
      <c r="L19" s="461" t="s">
        <v>975</v>
      </c>
      <c r="M19" s="472">
        <f>IF(Input!$B$34="","",Input!$B$34)</f>
      </c>
      <c r="N19" s="473"/>
      <c r="O19" s="458"/>
      <c r="P19" s="60"/>
      <c r="Q19" s="21"/>
      <c r="R19" s="21"/>
      <c r="S19" s="18"/>
      <c r="T19" s="18"/>
      <c r="U19" s="18"/>
      <c r="V19" s="18"/>
    </row>
    <row r="20" spans="1:22" ht="12.75">
      <c r="A20" s="458"/>
      <c r="B20" s="458"/>
      <c r="C20" s="458"/>
      <c r="D20" s="461" t="s">
        <v>981</v>
      </c>
      <c r="E20" s="462">
        <f>IF(Input!$B$37="","",Input!$B$37)</f>
      </c>
      <c r="F20" s="463"/>
      <c r="G20" s="477"/>
      <c r="H20" s="477"/>
      <c r="I20" s="477"/>
      <c r="J20" s="477"/>
      <c r="K20" s="477"/>
      <c r="L20" s="461" t="s">
        <v>979</v>
      </c>
      <c r="M20" s="472">
        <f>IF(Input!$B$35="","",Input!$B$35)</f>
      </c>
      <c r="N20" s="473"/>
      <c r="O20" s="458"/>
      <c r="P20" s="60"/>
      <c r="Q20" s="21"/>
      <c r="R20" s="21"/>
      <c r="S20" s="18"/>
      <c r="T20" s="18"/>
      <c r="U20" s="18"/>
      <c r="V20" s="18"/>
    </row>
    <row r="21" spans="1:22" ht="12.75">
      <c r="A21" s="458"/>
      <c r="B21" s="458"/>
      <c r="C21" s="458"/>
      <c r="D21" s="461" t="s">
        <v>97</v>
      </c>
      <c r="E21" s="538"/>
      <c r="F21" s="539"/>
      <c r="G21" s="477"/>
      <c r="H21" s="477"/>
      <c r="I21" s="477"/>
      <c r="J21" s="477"/>
      <c r="K21" s="477"/>
      <c r="L21" s="461" t="s">
        <v>980</v>
      </c>
      <c r="M21" s="472">
        <f>IF(Input!$B$36="","",Input!$B$36)</f>
      </c>
      <c r="N21" s="473"/>
      <c r="O21" s="458"/>
      <c r="P21" s="65"/>
      <c r="Q21" s="21"/>
      <c r="R21" s="21"/>
      <c r="S21" s="18"/>
      <c r="T21" s="18"/>
      <c r="U21" s="18"/>
      <c r="V21" s="18"/>
    </row>
    <row r="22" spans="1:22" ht="12.75">
      <c r="A22" s="458"/>
      <c r="B22" s="458"/>
      <c r="C22" s="458"/>
      <c r="D22" s="461" t="s">
        <v>103</v>
      </c>
      <c r="E22" s="462">
        <f>IF(Input!$B$9="","",Input!$B$9)</f>
      </c>
      <c r="F22" s="463"/>
      <c r="G22" s="477"/>
      <c r="H22" s="477"/>
      <c r="I22" s="477"/>
      <c r="J22" s="477"/>
      <c r="K22" s="477"/>
      <c r="L22" s="478"/>
      <c r="M22" s="479"/>
      <c r="N22" s="480"/>
      <c r="O22" s="458"/>
      <c r="P22" s="65"/>
      <c r="Q22" s="21"/>
      <c r="R22" s="21"/>
      <c r="S22" s="18"/>
      <c r="T22" s="18"/>
      <c r="U22" s="18"/>
      <c r="V22" s="18"/>
    </row>
    <row r="23" spans="1:22" ht="12.75">
      <c r="A23" s="458"/>
      <c r="B23" s="458"/>
      <c r="C23" s="458"/>
      <c r="D23" s="461" t="s">
        <v>104</v>
      </c>
      <c r="E23" s="481">
        <f>'Setup Bm Input'!$B$34</f>
      </c>
      <c r="F23" s="463">
        <f>IF(Input!$B$6="","",IF(Input!$B$6="E","in.",IF(Input!$B$6="M","mm")))</f>
      </c>
      <c r="I23" s="477"/>
      <c r="J23" s="477"/>
      <c r="K23" s="477"/>
      <c r="L23" s="482"/>
      <c r="M23" s="483"/>
      <c r="N23" s="480"/>
      <c r="O23" s="458"/>
      <c r="P23" s="65"/>
      <c r="Q23" s="21"/>
      <c r="R23" s="21"/>
      <c r="S23" s="18"/>
      <c r="T23" s="18"/>
      <c r="U23" s="18"/>
      <c r="V23" s="18"/>
    </row>
    <row r="24" spans="1:22" ht="12.75">
      <c r="A24" s="458"/>
      <c r="B24" s="458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8"/>
      <c r="P24" s="65"/>
      <c r="Q24" s="21"/>
      <c r="R24" s="21"/>
      <c r="S24" s="18"/>
      <c r="T24" s="18"/>
      <c r="U24" s="18"/>
      <c r="V24" s="18"/>
    </row>
    <row r="25" spans="1:22" ht="19.5" customHeight="1">
      <c r="A25" s="75"/>
      <c r="B25" s="77"/>
      <c r="C25" s="72" t="s">
        <v>706</v>
      </c>
      <c r="D25" s="317"/>
      <c r="E25" s="671"/>
      <c r="F25" s="72" t="s">
        <v>707</v>
      </c>
      <c r="G25" s="319"/>
      <c r="H25" s="75"/>
      <c r="I25" s="72" t="s">
        <v>708</v>
      </c>
      <c r="J25" s="318"/>
      <c r="K25" s="75"/>
      <c r="L25" s="75"/>
      <c r="M25" s="75"/>
      <c r="N25" s="75"/>
      <c r="O25" s="75"/>
      <c r="P25" s="65"/>
      <c r="Q25" s="21"/>
      <c r="R25" s="21"/>
      <c r="S25" s="18"/>
      <c r="T25" s="18"/>
      <c r="U25" s="18"/>
      <c r="V25" s="18"/>
    </row>
    <row r="26" spans="1:22" ht="19.5" customHeight="1">
      <c r="A26" s="75"/>
      <c r="B26" s="77"/>
      <c r="C26" s="72"/>
      <c r="D26" s="76" t="s">
        <v>591</v>
      </c>
      <c r="E26" s="671"/>
      <c r="F26" s="458"/>
      <c r="G26" s="458"/>
      <c r="H26" s="75"/>
      <c r="I26" s="75"/>
      <c r="J26" s="75"/>
      <c r="K26" s="75"/>
      <c r="L26" s="75"/>
      <c r="M26" s="75"/>
      <c r="N26" s="75"/>
      <c r="O26" s="300"/>
      <c r="P26" s="65"/>
      <c r="Q26" s="21"/>
      <c r="R26" s="21"/>
      <c r="S26" s="18"/>
      <c r="T26" s="18"/>
      <c r="U26" s="18"/>
      <c r="V26" s="18"/>
    </row>
    <row r="27" spans="1:22" ht="19.5" customHeight="1">
      <c r="A27" s="75"/>
      <c r="B27" s="77"/>
      <c r="C27" s="72" t="s">
        <v>956</v>
      </c>
      <c r="D27" s="79">
        <f>IF('Setup Bm Input'!$B$59="","",'Setup Bm Input'!$B$59)</f>
      </c>
      <c r="E27" s="80"/>
      <c r="F27" s="316"/>
      <c r="G27" s="671"/>
      <c r="H27" s="671"/>
      <c r="I27" s="326" t="s">
        <v>752</v>
      </c>
      <c r="J27" s="328"/>
      <c r="K27" s="329" t="s">
        <v>753</v>
      </c>
      <c r="L27" s="327"/>
      <c r="M27" s="75"/>
      <c r="N27" s="75"/>
      <c r="O27" s="301"/>
      <c r="P27" s="60"/>
      <c r="Q27" s="21"/>
      <c r="R27" s="21"/>
      <c r="S27" s="18"/>
      <c r="T27" s="18"/>
      <c r="U27" s="18"/>
      <c r="V27" s="18"/>
    </row>
    <row r="28" spans="1:22" ht="19.5" customHeight="1">
      <c r="A28" s="75"/>
      <c r="B28" s="77"/>
      <c r="C28" s="75"/>
      <c r="D28" s="75"/>
      <c r="E28" s="75"/>
      <c r="F28" s="75"/>
      <c r="G28" s="75"/>
      <c r="H28" s="75"/>
      <c r="I28" s="313" t="s">
        <v>56</v>
      </c>
      <c r="J28" s="313" t="s">
        <v>56</v>
      </c>
      <c r="K28" s="324" t="s">
        <v>56</v>
      </c>
      <c r="L28" s="315" t="s">
        <v>56</v>
      </c>
      <c r="M28" s="458"/>
      <c r="N28" s="458"/>
      <c r="O28" s="301"/>
      <c r="P28" s="60"/>
      <c r="Q28" s="21"/>
      <c r="R28" s="21"/>
      <c r="S28" s="18"/>
      <c r="T28" s="18"/>
      <c r="U28" s="18"/>
      <c r="V28" s="18"/>
    </row>
    <row r="29" spans="1:22" ht="19.5" customHeight="1">
      <c r="A29" s="75"/>
      <c r="B29" s="458"/>
      <c r="C29" s="458"/>
      <c r="D29" s="697" t="s">
        <v>754</v>
      </c>
      <c r="E29" s="673" t="str">
        <f>IF('Setup Bm Input'!$B$48="","No Input",'Setup Bm Input'!$B$48)</f>
        <v>No Input</v>
      </c>
      <c r="F29" s="458"/>
      <c r="G29" s="360"/>
      <c r="H29" s="360"/>
      <c r="I29" s="312" t="str">
        <f>IF('Setup Bm Input'!$F$51="","No Input",IF('Setup Bm Input'!$F$51="Net","Net El.","Gross El."))</f>
        <v>No Input</v>
      </c>
      <c r="J29" s="314" t="str">
        <f>IF('Setup Bm Input'!$F$51="","No Input",IF('Setup Bm Input'!$F$51="Net","Net El.","Gross El."))</f>
        <v>No Input</v>
      </c>
      <c r="K29" s="325" t="str">
        <f>IF('Setup Bm Input'!$F$51="","No Input",IF('Setup Bm Input'!$F$51="Net","Net El.","Gross El."))</f>
        <v>No Input</v>
      </c>
      <c r="L29" s="312" t="str">
        <f>IF('Setup Bm Input'!$F$51="","No Input",IF('Setup Bm Input'!$F$51="Net","Net El.","Gross El."))</f>
        <v>No Input</v>
      </c>
      <c r="M29" s="458"/>
      <c r="N29" s="458"/>
      <c r="O29" s="301"/>
      <c r="P29" s="60"/>
      <c r="Q29" s="21"/>
      <c r="R29" s="21"/>
      <c r="S29" s="18"/>
      <c r="T29" s="18"/>
      <c r="U29" s="18"/>
      <c r="V29" s="18"/>
    </row>
    <row r="30" spans="1:22" ht="19.5" customHeight="1">
      <c r="A30" s="72"/>
      <c r="B30" s="458"/>
      <c r="C30" s="458"/>
      <c r="D30" s="458"/>
      <c r="E30" s="458"/>
      <c r="F30" s="458"/>
      <c r="G30" s="662" t="s">
        <v>1139</v>
      </c>
      <c r="H30" s="563" t="s">
        <v>56</v>
      </c>
      <c r="I30" s="674" t="s">
        <v>739</v>
      </c>
      <c r="J30" s="675" t="s">
        <v>738</v>
      </c>
      <c r="K30" s="698" t="s">
        <v>750</v>
      </c>
      <c r="L30" s="675" t="s">
        <v>751</v>
      </c>
      <c r="M30" s="458"/>
      <c r="N30" s="458"/>
      <c r="O30" s="301"/>
      <c r="P30" s="60"/>
      <c r="Q30" s="21"/>
      <c r="R30" s="21"/>
      <c r="S30" s="18"/>
      <c r="T30" s="18"/>
      <c r="U30" s="18"/>
      <c r="V30" s="18"/>
    </row>
    <row r="31" spans="1:22" ht="19.5" customHeight="1">
      <c r="A31" s="72"/>
      <c r="B31" s="458"/>
      <c r="C31" s="525" t="s">
        <v>112</v>
      </c>
      <c r="D31" s="525" t="s">
        <v>114</v>
      </c>
      <c r="E31" s="630" t="s">
        <v>741</v>
      </c>
      <c r="F31" s="630" t="s">
        <v>740</v>
      </c>
      <c r="G31" s="600"/>
      <c r="H31" s="312" t="str">
        <f>IF('Setup Bm Input'!$F$51="","No Input",IF('Setup Bm Input'!$F$51="Net","Net El.","Gross El."))</f>
        <v>No Input</v>
      </c>
      <c r="I31" s="676" t="s">
        <v>555</v>
      </c>
      <c r="J31" s="601" t="s">
        <v>556</v>
      </c>
      <c r="K31" s="649" t="s">
        <v>555</v>
      </c>
      <c r="L31" s="601" t="s">
        <v>556</v>
      </c>
      <c r="M31" s="458"/>
      <c r="N31" s="458"/>
      <c r="O31" s="301"/>
      <c r="P31" s="60"/>
      <c r="Q31" s="21"/>
      <c r="R31" s="21"/>
      <c r="S31" s="18"/>
      <c r="T31" s="18"/>
      <c r="U31" s="18"/>
      <c r="V31" s="18"/>
    </row>
    <row r="32" spans="1:22" ht="19.5" customHeight="1">
      <c r="A32" s="72"/>
      <c r="B32" s="458"/>
      <c r="C32" s="525" t="s">
        <v>90</v>
      </c>
      <c r="D32" s="476">
        <f>IF('Setup Bm Input'!$B63="","",'Setup Bm Input'!$B63)</f>
      </c>
      <c r="E32" s="476">
        <f>IF('Setup Bm Input'!$C63="","",'Setup Bm Input'!$C63)</f>
      </c>
      <c r="F32" s="476">
        <f>IF('Setup Bm Input'!$E63="","",'Setup Bm Input'!$E63/1000000)</f>
      </c>
      <c r="G32" s="677">
        <f>IF('Singlet F'!$F71="","",'Singlet F'!$F71)</f>
      </c>
      <c r="H32" s="344" t="str">
        <f>IF('Setup Bm Input'!$F$51="","Error",IF('Singlet E'!$G83="","",IF('Singlet E'!$B83="","",IF('Setup Bm Input'!$F$51="Net",'Singlet E'!$G83,'Singlet E'!$B83))))</f>
        <v>Error</v>
      </c>
      <c r="I32" s="344" t="str">
        <f>IF('Setup Bm Input'!$F$51="","Error",IF('Singlet E'!$H83="","",IF('Singlet E'!$C83="","",IF('Setup Bm Input'!$F$51="Net",'Singlet E'!$H83,'Singlet E'!$C83))))</f>
        <v>Error</v>
      </c>
      <c r="J32" s="344" t="str">
        <f>IF('Setup Bm Input'!$F$51="","Error",IF('Singlet E'!$D83="","",IF('Singlet E'!$I83="","",IF('Setup Bm Input'!$F$51="Net",'Singlet E'!$I83,'Singlet E'!$D83))))</f>
        <v>Error</v>
      </c>
      <c r="K32" s="344" t="str">
        <f>IF('Setup Bm Input'!$F$51="","Error",IF('Singlet E'!$J83="","",IF('Singlet E'!$E83="","",IF('Setup Bm Input'!$F$51="Net",'Singlet E'!$J83,'Singlet E'!$E83))))</f>
        <v>Error</v>
      </c>
      <c r="L32" s="344" t="str">
        <f>IF('Setup Bm Input'!$F$51="","Error",IF('Singlet E'!$K83="","",IF('Singlet E'!$F83="","",IF('Setup Bm Input'!$F$51="Net",'Singlet E'!$K83,'Singlet E'!$F83))))</f>
        <v>Error</v>
      </c>
      <c r="M32" s="458"/>
      <c r="N32" s="458"/>
      <c r="O32" s="301"/>
      <c r="P32" s="60"/>
      <c r="Q32" s="21"/>
      <c r="R32" s="21"/>
      <c r="S32" s="18"/>
      <c r="T32" s="18"/>
      <c r="U32" s="18"/>
      <c r="V32" s="18"/>
    </row>
    <row r="33" spans="1:22" ht="19.5" customHeight="1">
      <c r="A33" s="72"/>
      <c r="B33" s="458"/>
      <c r="C33" s="525" t="s">
        <v>91</v>
      </c>
      <c r="D33" s="476">
        <f>IF('Setup Bm Input'!$B64="","",'Setup Bm Input'!$B64)</f>
      </c>
      <c r="E33" s="476">
        <f>IF('Setup Bm Input'!$C64="","",'Setup Bm Input'!$C64)</f>
      </c>
      <c r="F33" s="476">
        <f>IF('Setup Bm Input'!$E64="","",'Setup Bm Input'!$E64/1000000)</f>
      </c>
      <c r="G33" s="677">
        <f>IF('Singlet F'!$F72="","",'Singlet F'!$F72)</f>
      </c>
      <c r="H33" s="344" t="str">
        <f>IF('Setup Bm Input'!$F$51="","Error",IF('Singlet E'!$G84="","",IF('Singlet E'!$B84="","",IF('Setup Bm Input'!$F$51="Net",'Singlet E'!$G84,'Singlet E'!$B84))))</f>
        <v>Error</v>
      </c>
      <c r="I33" s="344" t="str">
        <f>IF('Setup Bm Input'!$F$51="","Error",IF('Singlet E'!$H84="","",IF('Singlet E'!$C84="","",IF('Setup Bm Input'!$F$51="Net",'Singlet E'!$H84,'Singlet E'!$C84))))</f>
        <v>Error</v>
      </c>
      <c r="J33" s="344" t="str">
        <f>IF('Setup Bm Input'!$F$51="","Error",IF('Singlet E'!$D84="","",IF('Singlet E'!$I84="","",IF('Setup Bm Input'!$F$51="Net",'Singlet E'!$I84,'Singlet E'!$D84))))</f>
        <v>Error</v>
      </c>
      <c r="K33" s="344" t="str">
        <f>IF('Setup Bm Input'!$F$51="","Error",IF('Singlet E'!$J84="","",IF('Singlet E'!$E84="","",IF('Setup Bm Input'!$F$51="Net",'Singlet E'!$J84,'Singlet E'!$E84))))</f>
        <v>Error</v>
      </c>
      <c r="L33" s="344" t="str">
        <f>IF('Setup Bm Input'!$F$51="","Error",IF('Singlet E'!$K84="","",IF('Singlet E'!$F84="","",IF('Setup Bm Input'!$F$51="Net",'Singlet E'!$K84,'Singlet E'!$F84))))</f>
        <v>Error</v>
      </c>
      <c r="M33" s="458"/>
      <c r="N33" s="458"/>
      <c r="O33" s="301"/>
      <c r="P33" s="60"/>
      <c r="Q33" s="21"/>
      <c r="R33" s="21"/>
      <c r="S33" s="18"/>
      <c r="T33" s="18"/>
      <c r="U33" s="18"/>
      <c r="V33" s="18"/>
    </row>
    <row r="34" spans="1:22" ht="19.5" customHeight="1">
      <c r="A34" s="75"/>
      <c r="B34" s="458"/>
      <c r="C34" s="525" t="s">
        <v>92</v>
      </c>
      <c r="D34" s="476">
        <f>IF('Setup Bm Input'!$B65="","",'Setup Bm Input'!$B65)</f>
      </c>
      <c r="E34" s="476">
        <f>IF('Setup Bm Input'!$C65="","",'Setup Bm Input'!$C65)</f>
      </c>
      <c r="F34" s="476">
        <f>IF('Setup Bm Input'!$E65="","",'Setup Bm Input'!$E65/1000000)</f>
      </c>
      <c r="G34" s="677">
        <f>IF('Singlet F'!$F73="","",'Singlet F'!$F73)</f>
      </c>
      <c r="H34" s="344" t="str">
        <f>IF('Setup Bm Input'!$F$51="","Error",IF('Singlet E'!$G85="","",IF('Singlet E'!$B85="","",IF('Setup Bm Input'!$F$51="Net",'Singlet E'!$G85,'Singlet E'!$B85))))</f>
        <v>Error</v>
      </c>
      <c r="I34" s="344" t="str">
        <f>IF('Setup Bm Input'!$F$51="","Error",IF('Singlet E'!$H85="","",IF('Singlet E'!$C85="","",IF('Setup Bm Input'!$F$51="Net",'Singlet E'!$H85,'Singlet E'!$C85))))</f>
        <v>Error</v>
      </c>
      <c r="J34" s="344" t="str">
        <f>IF('Setup Bm Input'!$F$51="","Error",IF('Singlet E'!$D85="","",IF('Singlet E'!$I85="","",IF('Setup Bm Input'!$F$51="Net",'Singlet E'!$I85,'Singlet E'!$D85))))</f>
        <v>Error</v>
      </c>
      <c r="K34" s="344" t="str">
        <f>IF('Setup Bm Input'!$F$51="","Error",IF('Singlet E'!$J85="","",IF('Singlet E'!$E85="","",IF('Setup Bm Input'!$F$51="Net",'Singlet E'!$J85,'Singlet E'!$E85))))</f>
        <v>Error</v>
      </c>
      <c r="L34" s="344" t="str">
        <f>IF('Setup Bm Input'!$F$51="","Error",IF('Singlet E'!$K85="","",IF('Singlet E'!$F85="","",IF('Setup Bm Input'!$F$51="Net",'Singlet E'!$K85,'Singlet E'!$F85))))</f>
        <v>Error</v>
      </c>
      <c r="M34" s="458"/>
      <c r="N34" s="458"/>
      <c r="O34" s="77"/>
      <c r="P34" s="60"/>
      <c r="Q34" s="21"/>
      <c r="R34" s="21"/>
      <c r="S34" s="18"/>
      <c r="T34" s="18"/>
      <c r="U34" s="18"/>
      <c r="V34" s="18"/>
    </row>
    <row r="35" spans="1:22" ht="19.5" customHeight="1">
      <c r="A35" s="458"/>
      <c r="B35" s="458"/>
      <c r="C35" s="525" t="s">
        <v>93</v>
      </c>
      <c r="D35" s="476">
        <f>IF('Setup Bm Input'!$B66="","",'Setup Bm Input'!$B66)</f>
      </c>
      <c r="E35" s="476">
        <f>IF('Setup Bm Input'!$C66="","",'Setup Bm Input'!$C66)</f>
      </c>
      <c r="F35" s="476">
        <f>IF('Setup Bm Input'!$E66="","",'Setup Bm Input'!$E66/1000000)</f>
      </c>
      <c r="G35" s="677">
        <f>IF('Singlet F'!$F74="","",'Singlet F'!$F74)</f>
      </c>
      <c r="H35" s="344" t="str">
        <f>IF('Setup Bm Input'!$F$51="","Error",IF('Singlet E'!$G86="","",IF('Singlet E'!$B86="","",IF('Setup Bm Input'!$F$51="Net",'Singlet E'!$G86,'Singlet E'!$B86))))</f>
        <v>Error</v>
      </c>
      <c r="I35" s="344" t="str">
        <f>IF('Setup Bm Input'!$F$51="","Error",IF('Singlet E'!$H86="","",IF('Singlet E'!$C86="","",IF('Setup Bm Input'!$F$51="Net",'Singlet E'!$H86,'Singlet E'!$C86))))</f>
        <v>Error</v>
      </c>
      <c r="J35" s="344" t="str">
        <f>IF('Setup Bm Input'!$F$51="","Error",IF('Singlet E'!$D86="","",IF('Singlet E'!$I86="","",IF('Setup Bm Input'!$F$51="Net",'Singlet E'!$I86,'Singlet E'!$D86))))</f>
        <v>Error</v>
      </c>
      <c r="K35" s="344" t="str">
        <f>IF('Setup Bm Input'!$F$51="","Error",IF('Singlet E'!$J86="","",IF('Singlet E'!$E86="","",IF('Setup Bm Input'!$F$51="Net",'Singlet E'!$J86,'Singlet E'!$E86))))</f>
        <v>Error</v>
      </c>
      <c r="L35" s="344" t="str">
        <f>IF('Setup Bm Input'!$F$51="","Error",IF('Singlet E'!$K86="","",IF('Singlet E'!$F86="","",IF('Setup Bm Input'!$F$51="Net",'Singlet E'!$K86,'Singlet E'!$F86))))</f>
        <v>Error</v>
      </c>
      <c r="M35" s="458"/>
      <c r="N35" s="458"/>
      <c r="O35" s="458"/>
      <c r="P35" s="60"/>
      <c r="Q35" s="21"/>
      <c r="R35" s="21"/>
      <c r="S35" s="18"/>
      <c r="T35" s="18"/>
      <c r="U35" s="18"/>
      <c r="V35" s="18"/>
    </row>
    <row r="36" spans="1:22" ht="19.5" customHeight="1">
      <c r="A36" s="458"/>
      <c r="B36" s="458"/>
      <c r="C36" s="458"/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60"/>
      <c r="Q36" s="21"/>
      <c r="R36" s="21"/>
      <c r="S36" s="18"/>
      <c r="T36" s="18"/>
      <c r="U36" s="18"/>
      <c r="V36" s="18"/>
    </row>
    <row r="37" spans="1:22" ht="19.5" customHeight="1">
      <c r="A37" s="458"/>
      <c r="B37" s="458"/>
      <c r="C37" s="458"/>
      <c r="D37" s="678" t="s">
        <v>749</v>
      </c>
      <c r="E37" s="458"/>
      <c r="F37" s="458"/>
      <c r="J37" s="458"/>
      <c r="K37" s="679" t="s">
        <v>749</v>
      </c>
      <c r="L37" s="458"/>
      <c r="M37" s="458"/>
      <c r="N37" s="458"/>
      <c r="O37" s="458"/>
      <c r="P37" s="60"/>
      <c r="Q37" s="21"/>
      <c r="R37" s="21"/>
      <c r="S37" s="18"/>
      <c r="T37" s="18"/>
      <c r="U37" s="18"/>
      <c r="V37" s="18"/>
    </row>
    <row r="38" spans="1:22" ht="19.5" customHeight="1" thickBot="1">
      <c r="A38" s="458"/>
      <c r="B38" s="458"/>
      <c r="C38" s="458"/>
      <c r="D38" s="458"/>
      <c r="E38" s="458"/>
      <c r="F38" s="458"/>
      <c r="G38" s="458"/>
      <c r="H38" s="458"/>
      <c r="I38" s="458"/>
      <c r="J38" s="458"/>
      <c r="K38" s="458"/>
      <c r="L38" s="458"/>
      <c r="M38" s="458"/>
      <c r="N38" s="458"/>
      <c r="O38" s="458"/>
      <c r="P38" s="60"/>
      <c r="Q38" s="21"/>
      <c r="R38" s="21"/>
      <c r="S38" s="18"/>
      <c r="T38" s="18"/>
      <c r="U38" s="18"/>
      <c r="V38" s="18"/>
    </row>
    <row r="39" spans="1:22" ht="19.5" customHeight="1" thickBot="1">
      <c r="A39" s="75"/>
      <c r="B39" s="308" t="s">
        <v>114</v>
      </c>
      <c r="C39" s="73" t="s">
        <v>1259</v>
      </c>
      <c r="D39" s="305"/>
      <c r="E39" s="339" t="s">
        <v>114</v>
      </c>
      <c r="F39" s="73" t="s">
        <v>1260</v>
      </c>
      <c r="G39" s="75"/>
      <c r="H39" s="308" t="s">
        <v>114</v>
      </c>
      <c r="I39" s="73" t="s">
        <v>1261</v>
      </c>
      <c r="J39" s="305"/>
      <c r="K39" s="308" t="s">
        <v>114</v>
      </c>
      <c r="L39" s="306" t="s">
        <v>1262</v>
      </c>
      <c r="M39" s="458"/>
      <c r="N39" s="308" t="s">
        <v>114</v>
      </c>
      <c r="O39" s="73" t="s">
        <v>1263</v>
      </c>
      <c r="P39" s="60"/>
      <c r="Q39" s="21"/>
      <c r="R39" s="21"/>
      <c r="S39" s="18"/>
      <c r="T39" s="18"/>
      <c r="U39" s="18"/>
      <c r="V39" s="18"/>
    </row>
    <row r="40" spans="1:22" ht="19.5" customHeight="1" thickBot="1">
      <c r="A40" s="75"/>
      <c r="B40" s="309"/>
      <c r="C40" s="73" t="str">
        <f>IF('Setup Bm Input'!$F$51="Net","Net El.","Gross El.")</f>
        <v>Gross El.</v>
      </c>
      <c r="D40" s="305"/>
      <c r="E40" s="340"/>
      <c r="F40" s="73" t="str">
        <f>IF('Setup Bm Input'!$F$51="Net","Net El.","Gross El.")</f>
        <v>Gross El.</v>
      </c>
      <c r="G40" s="75"/>
      <c r="H40" s="309"/>
      <c r="I40" s="73" t="str">
        <f>IF('Setup Bm Input'!$F$51="Net","Net El.","Gross El.")</f>
        <v>Gross El.</v>
      </c>
      <c r="J40" s="307"/>
      <c r="K40" s="309"/>
      <c r="L40" s="73" t="str">
        <f>IF('Setup Bm Input'!$F$51="Net","Net El.","Gross El.")</f>
        <v>Gross El.</v>
      </c>
      <c r="M40" s="458"/>
      <c r="N40" s="309"/>
      <c r="O40" s="73" t="str">
        <f>IF('Setup Bm Input'!$F$51="Net","Net El.","Gross El.")</f>
        <v>Gross El.</v>
      </c>
      <c r="P40" s="60"/>
      <c r="Q40" s="21"/>
      <c r="R40" s="21"/>
      <c r="S40" s="18"/>
      <c r="T40" s="18"/>
      <c r="U40" s="18"/>
      <c r="V40" s="18"/>
    </row>
    <row r="41" spans="1:22" ht="19.5" customHeight="1" thickBot="1">
      <c r="A41" s="72">
        <f>IF(B41="","",1)</f>
      </c>
      <c r="B41" s="688"/>
      <c r="C41" s="70"/>
      <c r="D41" s="301">
        <f>IF(E41="","",1)</f>
      </c>
      <c r="E41" s="688"/>
      <c r="F41" s="70"/>
      <c r="G41" s="76">
        <f>IF(H41="","",1)</f>
      </c>
      <c r="H41" s="688"/>
      <c r="I41" s="70"/>
      <c r="J41" s="76">
        <f>IF(K41="","",1)</f>
      </c>
      <c r="K41" s="688"/>
      <c r="L41" s="136"/>
      <c r="M41" s="76">
        <f>IF(N41="","",1)</f>
      </c>
      <c r="N41" s="688"/>
      <c r="O41" s="136"/>
      <c r="P41" s="60"/>
      <c r="Q41" s="21"/>
      <c r="R41" s="21"/>
      <c r="S41" s="18"/>
      <c r="T41" s="18"/>
      <c r="U41" s="18"/>
      <c r="V41" s="18"/>
    </row>
    <row r="42" spans="1:22" ht="19.5" customHeight="1" thickBot="1">
      <c r="A42" s="72">
        <f>IF(B42="","",A41+1)</f>
      </c>
      <c r="B42" s="688"/>
      <c r="C42" s="70"/>
      <c r="D42" s="301">
        <f aca="true" t="shared" si="0" ref="D42:D52">IF(E42="","",D41+1)</f>
      </c>
      <c r="E42" s="688"/>
      <c r="F42" s="70"/>
      <c r="G42" s="76">
        <f>IF(H42="","",G41+1)</f>
      </c>
      <c r="H42" s="688"/>
      <c r="I42" s="70"/>
      <c r="J42" s="76">
        <f>IF(K42="","",J41+1)</f>
      </c>
      <c r="K42" s="688"/>
      <c r="L42" s="136"/>
      <c r="M42" s="76">
        <f>IF(N42="","",M41+1)</f>
      </c>
      <c r="N42" s="688"/>
      <c r="O42" s="136"/>
      <c r="P42" s="60"/>
      <c r="Q42" s="21"/>
      <c r="R42" s="21"/>
      <c r="S42" s="18"/>
      <c r="T42" s="18"/>
      <c r="U42" s="18"/>
      <c r="V42" s="18"/>
    </row>
    <row r="43" spans="1:22" ht="19.5" customHeight="1" thickBot="1">
      <c r="A43" s="72">
        <f aca="true" t="shared" si="1" ref="A43:A52">IF(B43="","",A42+1)</f>
      </c>
      <c r="B43" s="688"/>
      <c r="C43" s="70"/>
      <c r="D43" s="301">
        <f t="shared" si="0"/>
      </c>
      <c r="E43" s="688"/>
      <c r="F43" s="70"/>
      <c r="G43" s="76">
        <f aca="true" t="shared" si="2" ref="G43:G48">IF(H43="","",G42+1)</f>
      </c>
      <c r="H43" s="688"/>
      <c r="I43" s="70"/>
      <c r="J43" s="76">
        <f>IF(K43="","",J42+1)</f>
      </c>
      <c r="K43" s="688"/>
      <c r="L43" s="136"/>
      <c r="M43" s="458"/>
      <c r="N43" s="458"/>
      <c r="O43" s="458"/>
      <c r="P43" s="60"/>
      <c r="Q43" s="21"/>
      <c r="R43" s="21"/>
      <c r="S43" s="18"/>
      <c r="T43" s="18"/>
      <c r="U43" s="18"/>
      <c r="V43" s="18"/>
    </row>
    <row r="44" spans="1:22" ht="19.5" customHeight="1" thickBot="1">
      <c r="A44" s="72">
        <f t="shared" si="1"/>
      </c>
      <c r="B44" s="688"/>
      <c r="C44" s="70"/>
      <c r="D44" s="301">
        <f t="shared" si="0"/>
      </c>
      <c r="E44" s="688"/>
      <c r="F44" s="70"/>
      <c r="G44" s="76">
        <f t="shared" si="2"/>
      </c>
      <c r="H44" s="688"/>
      <c r="I44" s="70"/>
      <c r="J44" s="76">
        <f>IF(K44="","",J43+1)</f>
      </c>
      <c r="K44" s="688"/>
      <c r="L44" s="136"/>
      <c r="M44" s="458"/>
      <c r="N44" s="458"/>
      <c r="O44" s="458"/>
      <c r="P44" s="60"/>
      <c r="Q44" s="21"/>
      <c r="R44" s="21"/>
      <c r="S44" s="18"/>
      <c r="T44" s="18"/>
      <c r="U44" s="18"/>
      <c r="V44" s="18"/>
    </row>
    <row r="45" spans="1:22" ht="19.5" customHeight="1" thickBot="1">
      <c r="A45" s="72">
        <f t="shared" si="1"/>
      </c>
      <c r="B45" s="688"/>
      <c r="C45" s="70"/>
      <c r="D45" s="301">
        <f t="shared" si="0"/>
      </c>
      <c r="E45" s="688"/>
      <c r="F45" s="70"/>
      <c r="G45" s="76">
        <f t="shared" si="2"/>
      </c>
      <c r="H45" s="688"/>
      <c r="I45" s="70"/>
      <c r="J45" s="76">
        <f>IF(K45="","",J44+1)</f>
      </c>
      <c r="K45" s="688"/>
      <c r="L45" s="136"/>
      <c r="M45" s="458"/>
      <c r="N45" s="458"/>
      <c r="O45" s="458"/>
      <c r="P45" s="60"/>
      <c r="Q45" s="21"/>
      <c r="R45" s="21"/>
      <c r="S45" s="18"/>
      <c r="T45" s="18"/>
      <c r="U45" s="18"/>
      <c r="V45" s="18"/>
    </row>
    <row r="46" spans="1:22" ht="19.5" customHeight="1" thickBot="1">
      <c r="A46" s="72">
        <f t="shared" si="1"/>
      </c>
      <c r="B46" s="688"/>
      <c r="C46" s="70"/>
      <c r="D46" s="301">
        <f t="shared" si="0"/>
      </c>
      <c r="E46" s="688"/>
      <c r="F46" s="70"/>
      <c r="G46" s="76">
        <f t="shared" si="2"/>
      </c>
      <c r="H46" s="688"/>
      <c r="I46" s="70"/>
      <c r="J46" s="76">
        <f>IF(K46="","",J45+1)</f>
      </c>
      <c r="K46" s="688"/>
      <c r="L46" s="136"/>
      <c r="M46" s="458"/>
      <c r="N46" s="458"/>
      <c r="O46" s="458"/>
      <c r="P46" s="60"/>
      <c r="Q46" s="21"/>
      <c r="R46" s="21"/>
      <c r="S46" s="18"/>
      <c r="T46" s="18"/>
      <c r="U46" s="18"/>
      <c r="V46" s="18"/>
    </row>
    <row r="47" spans="1:22" ht="19.5" customHeight="1" thickBot="1">
      <c r="A47" s="72">
        <f t="shared" si="1"/>
      </c>
      <c r="B47" s="688"/>
      <c r="C47" s="70"/>
      <c r="D47" s="301">
        <f t="shared" si="0"/>
      </c>
      <c r="E47" s="688"/>
      <c r="F47" s="70"/>
      <c r="G47" s="76">
        <f t="shared" si="2"/>
      </c>
      <c r="H47" s="688"/>
      <c r="I47" s="70"/>
      <c r="J47" s="458"/>
      <c r="K47" s="458"/>
      <c r="L47" s="458"/>
      <c r="M47" s="458"/>
      <c r="N47" s="458"/>
      <c r="O47" s="458"/>
      <c r="P47" s="60"/>
      <c r="Q47" s="21"/>
      <c r="R47" s="21"/>
      <c r="S47" s="18"/>
      <c r="T47" s="18"/>
      <c r="U47" s="18"/>
      <c r="V47" s="18"/>
    </row>
    <row r="48" spans="1:22" ht="19.5" customHeight="1" thickBot="1">
      <c r="A48" s="72">
        <f t="shared" si="1"/>
      </c>
      <c r="B48" s="688"/>
      <c r="C48" s="70"/>
      <c r="D48" s="301">
        <f t="shared" si="0"/>
      </c>
      <c r="E48" s="688"/>
      <c r="F48" s="70"/>
      <c r="G48" s="76">
        <f t="shared" si="2"/>
      </c>
      <c r="H48" s="688"/>
      <c r="I48" s="70"/>
      <c r="J48" s="458"/>
      <c r="K48" s="458"/>
      <c r="L48" s="458"/>
      <c r="M48" s="458"/>
      <c r="N48" s="458"/>
      <c r="O48" s="458"/>
      <c r="P48" s="60"/>
      <c r="Q48" s="21"/>
      <c r="R48" s="21"/>
      <c r="S48" s="18"/>
      <c r="T48" s="18"/>
      <c r="U48" s="18"/>
      <c r="V48" s="18"/>
    </row>
    <row r="49" spans="1:22" ht="19.5" customHeight="1" thickBot="1">
      <c r="A49" s="72">
        <f t="shared" si="1"/>
      </c>
      <c r="B49" s="688"/>
      <c r="C49" s="70"/>
      <c r="D49" s="301">
        <f t="shared" si="0"/>
      </c>
      <c r="E49" s="688"/>
      <c r="F49" s="70"/>
      <c r="G49" s="76">
        <f>IF(H49="","",G48+1)</f>
      </c>
      <c r="H49" s="688"/>
      <c r="I49" s="70"/>
      <c r="J49" s="458"/>
      <c r="K49" s="458"/>
      <c r="L49" s="458"/>
      <c r="M49" s="458"/>
      <c r="N49" s="458"/>
      <c r="O49" s="458"/>
      <c r="P49" s="60"/>
      <c r="Q49" s="21"/>
      <c r="R49" s="21"/>
      <c r="S49" s="18"/>
      <c r="T49" s="18"/>
      <c r="U49" s="18"/>
      <c r="V49" s="18"/>
    </row>
    <row r="50" spans="1:22" ht="19.5" customHeight="1" thickBot="1">
      <c r="A50" s="72">
        <f t="shared" si="1"/>
      </c>
      <c r="B50" s="688"/>
      <c r="C50" s="70"/>
      <c r="D50" s="301">
        <f t="shared" si="0"/>
      </c>
      <c r="E50" s="688"/>
      <c r="F50" s="70"/>
      <c r="G50" s="76">
        <f>IF(H50="","",G49+1)</f>
      </c>
      <c r="H50" s="688"/>
      <c r="I50" s="70"/>
      <c r="J50" s="60"/>
      <c r="K50" s="60"/>
      <c r="L50" s="60"/>
      <c r="M50" s="60"/>
      <c r="N50" s="60"/>
      <c r="O50" s="60"/>
      <c r="P50" s="60"/>
      <c r="Q50" s="21"/>
      <c r="R50" s="21"/>
      <c r="S50" s="18"/>
      <c r="T50" s="18"/>
      <c r="U50" s="18"/>
      <c r="V50" s="18"/>
    </row>
    <row r="51" spans="1:22" ht="19.5" customHeight="1" thickBot="1">
      <c r="A51" s="72">
        <f t="shared" si="1"/>
      </c>
      <c r="B51" s="688"/>
      <c r="C51" s="70"/>
      <c r="D51" s="301">
        <f t="shared" si="0"/>
      </c>
      <c r="E51" s="688"/>
      <c r="F51" s="70"/>
      <c r="G51" s="458"/>
      <c r="H51" s="60"/>
      <c r="I51" s="60"/>
      <c r="J51" s="60"/>
      <c r="K51" s="60"/>
      <c r="L51" s="60"/>
      <c r="M51" s="60"/>
      <c r="N51" s="60"/>
      <c r="O51" s="60"/>
      <c r="P51" s="60"/>
      <c r="Q51" s="21"/>
      <c r="R51" s="21"/>
      <c r="S51" s="18"/>
      <c r="T51" s="18"/>
      <c r="U51" s="18"/>
      <c r="V51" s="18"/>
    </row>
    <row r="52" spans="1:22" ht="19.5" customHeight="1" thickBot="1">
      <c r="A52" s="72">
        <f t="shared" si="1"/>
      </c>
      <c r="B52" s="688"/>
      <c r="C52" s="304"/>
      <c r="D52" s="301">
        <f t="shared" si="0"/>
      </c>
      <c r="E52" s="688"/>
      <c r="F52" s="304"/>
      <c r="G52" s="76"/>
      <c r="H52" s="60"/>
      <c r="I52" s="60"/>
      <c r="J52" s="60"/>
      <c r="K52" s="60"/>
      <c r="L52" s="60"/>
      <c r="M52" s="60"/>
      <c r="N52" s="60"/>
      <c r="O52" s="60"/>
      <c r="P52" s="60"/>
      <c r="Q52" s="21"/>
      <c r="R52" s="21"/>
      <c r="S52" s="18"/>
      <c r="T52" s="18"/>
      <c r="U52" s="18"/>
      <c r="V52" s="18"/>
    </row>
    <row r="53" spans="1:22" ht="19.5" customHeight="1" thickBot="1">
      <c r="A53" s="72">
        <f>IF(B53="","",A52+1)</f>
      </c>
      <c r="B53" s="688"/>
      <c r="C53" s="304"/>
      <c r="D53" s="301">
        <f>IF(E53="","",D52+1)</f>
      </c>
      <c r="E53" s="688"/>
      <c r="F53" s="304"/>
      <c r="G53" s="76"/>
      <c r="H53" s="60"/>
      <c r="I53" s="60"/>
      <c r="J53" s="60"/>
      <c r="K53" s="60"/>
      <c r="L53" s="60"/>
      <c r="M53" s="60"/>
      <c r="N53" s="60"/>
      <c r="O53" s="60"/>
      <c r="P53" s="60"/>
      <c r="Q53" s="21"/>
      <c r="R53" s="21"/>
      <c r="S53" s="18"/>
      <c r="T53" s="18"/>
      <c r="U53" s="18"/>
      <c r="V53" s="18"/>
    </row>
    <row r="54" spans="1:22" ht="19.5" customHeight="1" thickBot="1">
      <c r="A54" s="72">
        <f>IF(B54="","",A53+1)</f>
      </c>
      <c r="B54" s="688"/>
      <c r="C54" s="304"/>
      <c r="D54" s="301">
        <f>IF(E54="","",D53+1)</f>
      </c>
      <c r="E54" s="688"/>
      <c r="F54" s="304"/>
      <c r="P54" s="60"/>
      <c r="Q54" s="21"/>
      <c r="R54" s="21"/>
      <c r="S54" s="18"/>
      <c r="T54" s="18"/>
      <c r="U54" s="18"/>
      <c r="V54" s="18"/>
    </row>
    <row r="55" spans="16:22" ht="19.5" customHeight="1">
      <c r="P55" s="60"/>
      <c r="Q55" s="21"/>
      <c r="R55" s="21"/>
      <c r="S55" s="18"/>
      <c r="T55" s="18"/>
      <c r="U55" s="18"/>
      <c r="V55" s="18"/>
    </row>
    <row r="56" spans="1:22" ht="19.5" customHeight="1">
      <c r="A56" s="458"/>
      <c r="B56" s="323" t="s">
        <v>742</v>
      </c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60"/>
      <c r="Q56" s="21"/>
      <c r="R56" s="21"/>
      <c r="S56" s="18"/>
      <c r="T56" s="18"/>
      <c r="U56" s="18"/>
      <c r="V56" s="18"/>
    </row>
    <row r="57" spans="1:22" ht="19.5" customHeight="1">
      <c r="A57" s="458"/>
      <c r="B57" s="458"/>
      <c r="C57" s="305"/>
      <c r="D57" s="305"/>
      <c r="E57" s="301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60"/>
      <c r="Q57" s="21"/>
      <c r="R57" s="21"/>
      <c r="S57" s="18"/>
      <c r="T57" s="18"/>
      <c r="U57" s="18"/>
      <c r="V57" s="18"/>
    </row>
    <row r="58" spans="1:22" ht="19.5" customHeight="1">
      <c r="A58" s="458"/>
      <c r="B58" s="458"/>
      <c r="C58" s="458"/>
      <c r="D58" s="678" t="s">
        <v>1267</v>
      </c>
      <c r="E58" s="458"/>
      <c r="F58" s="458"/>
      <c r="J58" s="458"/>
      <c r="K58" s="679"/>
      <c r="L58" s="678" t="s">
        <v>1267</v>
      </c>
      <c r="M58" s="458"/>
      <c r="N58" s="458"/>
      <c r="O58" s="458"/>
      <c r="P58" s="60"/>
      <c r="Q58" s="21"/>
      <c r="R58" s="21"/>
      <c r="S58" s="18"/>
      <c r="T58" s="18"/>
      <c r="U58" s="18"/>
      <c r="V58" s="18"/>
    </row>
    <row r="59" spans="1:22" ht="19.5" customHeight="1" thickBot="1">
      <c r="A59" s="458"/>
      <c r="B59" s="458"/>
      <c r="C59" s="458"/>
      <c r="D59" s="458"/>
      <c r="E59" s="458"/>
      <c r="F59" s="458"/>
      <c r="G59" s="458"/>
      <c r="H59" s="458"/>
      <c r="I59" s="458"/>
      <c r="J59" s="458"/>
      <c r="K59" s="458"/>
      <c r="L59" s="458"/>
      <c r="M59" s="458"/>
      <c r="N59" s="458"/>
      <c r="O59" s="458"/>
      <c r="P59" s="60"/>
      <c r="Q59" s="21"/>
      <c r="R59" s="21"/>
      <c r="S59" s="18"/>
      <c r="T59" s="18"/>
      <c r="U59" s="18"/>
      <c r="V59" s="18"/>
    </row>
    <row r="60" spans="1:22" ht="19.5" customHeight="1" thickBot="1">
      <c r="A60" s="458"/>
      <c r="B60" s="308" t="s">
        <v>114</v>
      </c>
      <c r="C60" s="73" t="s">
        <v>744</v>
      </c>
      <c r="D60" s="305"/>
      <c r="E60" s="308" t="s">
        <v>114</v>
      </c>
      <c r="F60" s="306" t="s">
        <v>745</v>
      </c>
      <c r="G60" s="458"/>
      <c r="H60" s="308" t="s">
        <v>114</v>
      </c>
      <c r="I60" s="73" t="s">
        <v>746</v>
      </c>
      <c r="J60" s="458"/>
      <c r="K60" s="308" t="s">
        <v>114</v>
      </c>
      <c r="L60" s="73" t="s">
        <v>747</v>
      </c>
      <c r="M60" s="75"/>
      <c r="N60" s="308" t="s">
        <v>114</v>
      </c>
      <c r="O60" s="73" t="s">
        <v>748</v>
      </c>
      <c r="P60" s="60"/>
      <c r="Q60" s="21"/>
      <c r="R60" s="21"/>
      <c r="S60" s="18"/>
      <c r="T60" s="18"/>
      <c r="U60" s="18"/>
      <c r="V60" s="18"/>
    </row>
    <row r="61" spans="1:22" ht="19.5" customHeight="1" thickBot="1">
      <c r="A61" s="458"/>
      <c r="B61" s="309"/>
      <c r="C61" s="73" t="str">
        <f>IF('Setup Bm Input'!$F$51="Net","Net El.","Gross El.")</f>
        <v>Gross El.</v>
      </c>
      <c r="D61" s="305"/>
      <c r="E61" s="309"/>
      <c r="F61" s="73" t="str">
        <f>IF('Setup Bm Input'!$F$51="Net","Net El.","Gross El.")</f>
        <v>Gross El.</v>
      </c>
      <c r="G61" s="458"/>
      <c r="H61" s="309"/>
      <c r="I61" s="73" t="str">
        <f>IF('Setup Bm Input'!$F$51="Net","Net El.","Gross El.")</f>
        <v>Gross El.</v>
      </c>
      <c r="J61" s="458"/>
      <c r="K61" s="309"/>
      <c r="L61" s="73" t="str">
        <f>IF('Setup Bm Input'!$F$51="Net","Net El.","Gross El.")</f>
        <v>Gross El.</v>
      </c>
      <c r="M61" s="75"/>
      <c r="N61" s="309"/>
      <c r="O61" s="73" t="str">
        <f>IF('Setup Bm Input'!$F$51="Net","Net El.","Gross El.")</f>
        <v>Gross El.</v>
      </c>
      <c r="P61" s="60"/>
      <c r="Q61" s="21"/>
      <c r="R61" s="21"/>
      <c r="S61" s="18"/>
      <c r="T61" s="18"/>
      <c r="U61" s="18"/>
      <c r="V61" s="18"/>
    </row>
    <row r="62" spans="1:22" ht="19.5" customHeight="1" thickBot="1">
      <c r="A62" s="76">
        <f>IF(B62="","",1)</f>
      </c>
      <c r="B62" s="688"/>
      <c r="C62" s="70"/>
      <c r="D62" s="76">
        <f>IF(E62="","",1)</f>
      </c>
      <c r="E62" s="688"/>
      <c r="F62" s="136"/>
      <c r="G62" s="76">
        <f>IF(H62="","",1)</f>
      </c>
      <c r="H62" s="688"/>
      <c r="I62" s="136"/>
      <c r="J62" s="76">
        <f>IF(K62="","",1)</f>
      </c>
      <c r="K62" s="688"/>
      <c r="L62" s="136"/>
      <c r="M62" s="76">
        <f>IF(N62="","",1)</f>
      </c>
      <c r="N62" s="688"/>
      <c r="O62" s="70"/>
      <c r="P62" s="60"/>
      <c r="Q62" s="21"/>
      <c r="R62" s="21"/>
      <c r="S62" s="18"/>
      <c r="T62" s="18"/>
      <c r="U62" s="18"/>
      <c r="V62" s="18"/>
    </row>
    <row r="63" spans="1:22" ht="19.5" customHeight="1" thickBot="1">
      <c r="A63" s="76">
        <f>IF(B63="","",A62+1)</f>
      </c>
      <c r="B63" s="688"/>
      <c r="C63" s="70"/>
      <c r="D63" s="76">
        <f>IF(E63="","",D62+1)</f>
      </c>
      <c r="E63" s="688"/>
      <c r="F63" s="136"/>
      <c r="G63" s="76">
        <f>IF(H63="","",G62+1)</f>
      </c>
      <c r="H63" s="688"/>
      <c r="I63" s="136"/>
      <c r="J63" s="76">
        <f>IF(K63="","",J62+1)</f>
      </c>
      <c r="K63" s="688"/>
      <c r="L63" s="136"/>
      <c r="M63" s="76">
        <f>IF(N63="","",M62+1)</f>
      </c>
      <c r="N63" s="688"/>
      <c r="O63" s="70"/>
      <c r="P63" s="60"/>
      <c r="Q63" s="21"/>
      <c r="R63" s="21"/>
      <c r="S63" s="18"/>
      <c r="T63" s="18"/>
      <c r="U63" s="18"/>
      <c r="V63" s="18"/>
    </row>
    <row r="64" spans="1:22" ht="19.5" customHeight="1" thickBot="1">
      <c r="A64" s="458"/>
      <c r="B64" s="458"/>
      <c r="C64" s="458"/>
      <c r="D64" s="458"/>
      <c r="E64" s="458"/>
      <c r="F64" s="458"/>
      <c r="G64" s="458"/>
      <c r="H64" s="458"/>
      <c r="I64" s="458"/>
      <c r="J64" s="458"/>
      <c r="K64" s="458"/>
      <c r="L64" s="458"/>
      <c r="M64" s="458"/>
      <c r="N64" s="458"/>
      <c r="O64" s="458"/>
      <c r="P64" s="60"/>
      <c r="Q64" s="21"/>
      <c r="R64" s="21"/>
      <c r="S64" s="18"/>
      <c r="T64" s="18"/>
      <c r="U64" s="18"/>
      <c r="V64" s="18"/>
    </row>
    <row r="65" spans="1:22" ht="19.5" customHeight="1">
      <c r="A65" s="458"/>
      <c r="B65" s="323" t="s">
        <v>743</v>
      </c>
      <c r="C65" s="458"/>
      <c r="D65" s="458"/>
      <c r="E65" s="458"/>
      <c r="F65" s="458"/>
      <c r="G65" s="458"/>
      <c r="H65" s="458"/>
      <c r="I65" s="458"/>
      <c r="J65" s="458"/>
      <c r="K65" s="458"/>
      <c r="L65" s="935" t="s">
        <v>789</v>
      </c>
      <c r="M65" s="305"/>
      <c r="N65" s="305"/>
      <c r="O65" s="305"/>
      <c r="P65" s="60"/>
      <c r="Q65" s="21"/>
      <c r="R65" s="21"/>
      <c r="S65" s="18"/>
      <c r="T65" s="18"/>
      <c r="U65" s="18"/>
      <c r="V65" s="18"/>
    </row>
    <row r="66" spans="1:22" ht="19.5" customHeight="1">
      <c r="A66" s="458"/>
      <c r="C66" s="458"/>
      <c r="D66" s="458"/>
      <c r="E66" s="458"/>
      <c r="F66" s="458"/>
      <c r="G66" s="458"/>
      <c r="H66" s="458"/>
      <c r="I66" s="458"/>
      <c r="J66" s="458"/>
      <c r="K66" s="458"/>
      <c r="L66" s="936" t="s">
        <v>790</v>
      </c>
      <c r="M66" s="458"/>
      <c r="N66" s="458"/>
      <c r="O66" s="305"/>
      <c r="P66" s="60"/>
      <c r="Q66" s="21"/>
      <c r="R66" s="21"/>
      <c r="S66" s="18"/>
      <c r="T66" s="18"/>
      <c r="U66" s="18"/>
      <c r="V66" s="18"/>
    </row>
    <row r="67" spans="1:22" ht="19.5" customHeight="1">
      <c r="A67" s="458"/>
      <c r="B67" s="458"/>
      <c r="C67" s="458"/>
      <c r="D67" s="458"/>
      <c r="E67" s="458"/>
      <c r="F67" s="458"/>
      <c r="G67" s="672" t="s">
        <v>755</v>
      </c>
      <c r="H67" s="458"/>
      <c r="I67" s="673">
        <f>'Setup Bm Input'!$B$48-'Setup Bm Input'!$B$50</f>
        <v>0</v>
      </c>
      <c r="J67" s="458"/>
      <c r="K67" s="458"/>
      <c r="L67" s="936" t="s">
        <v>791</v>
      </c>
      <c r="M67" s="458"/>
      <c r="N67" s="458"/>
      <c r="O67" s="303"/>
      <c r="P67" s="60"/>
      <c r="Q67" s="21"/>
      <c r="R67" s="21"/>
      <c r="S67" s="18"/>
      <c r="T67" s="18"/>
      <c r="U67" s="18"/>
      <c r="V67" s="18"/>
    </row>
    <row r="68" spans="1:22" ht="19.5" customHeight="1" thickBot="1">
      <c r="A68" s="458"/>
      <c r="B68" s="458"/>
      <c r="C68" s="458"/>
      <c r="D68" s="458"/>
      <c r="E68" s="458"/>
      <c r="F68" s="458"/>
      <c r="G68" s="672" t="s">
        <v>756</v>
      </c>
      <c r="H68" s="458"/>
      <c r="I68" s="673">
        <f>'Setup Bm Input'!$B$50</f>
        <v>0</v>
      </c>
      <c r="J68" s="458"/>
      <c r="K68" s="458"/>
      <c r="L68" s="937" t="s">
        <v>794</v>
      </c>
      <c r="M68" s="458"/>
      <c r="N68" s="458"/>
      <c r="O68" s="303"/>
      <c r="P68" s="60"/>
      <c r="Q68" s="21"/>
      <c r="R68" s="21"/>
      <c r="S68" s="18"/>
      <c r="T68" s="18"/>
      <c r="U68" s="18"/>
      <c r="V68" s="18"/>
    </row>
    <row r="69" spans="1:22" ht="19.5" customHeight="1" thickBot="1">
      <c r="A69" s="76"/>
      <c r="B69" s="510"/>
      <c r="C69" s="510"/>
      <c r="D69" s="510"/>
      <c r="E69" s="510"/>
      <c r="F69" s="305"/>
      <c r="G69" s="305"/>
      <c r="H69" s="305"/>
      <c r="I69" s="305"/>
      <c r="J69" s="123"/>
      <c r="K69" s="239"/>
      <c r="L69" s="940" t="str">
        <f>IF('Setup Bm Input'!B46="","No Input",'Setup Bm Input'!B46)</f>
        <v>No Input</v>
      </c>
      <c r="M69" s="123"/>
      <c r="N69" s="321"/>
      <c r="O69" s="65"/>
      <c r="P69" s="60"/>
      <c r="Q69" s="21"/>
      <c r="R69" s="21"/>
      <c r="S69" s="18"/>
      <c r="T69" s="18"/>
      <c r="U69" s="18"/>
      <c r="V69" s="18"/>
    </row>
    <row r="70" spans="1:22" ht="19.5" customHeight="1">
      <c r="A70" s="72"/>
      <c r="B70" s="458"/>
      <c r="C70" s="458"/>
      <c r="D70" s="553"/>
      <c r="E70" s="553"/>
      <c r="F70" s="553"/>
      <c r="G70" s="681" t="s">
        <v>686</v>
      </c>
      <c r="H70" s="553"/>
      <c r="I70" s="553"/>
      <c r="J70" s="553"/>
      <c r="K70" s="553"/>
      <c r="L70" s="458"/>
      <c r="M70" s="682"/>
      <c r="N70" s="680"/>
      <c r="O70" s="458"/>
      <c r="P70" s="60"/>
      <c r="Q70" s="21"/>
      <c r="R70" s="21"/>
      <c r="S70" s="18"/>
      <c r="T70" s="18"/>
      <c r="U70" s="18"/>
      <c r="V70" s="18"/>
    </row>
    <row r="71" spans="1:22" ht="19.5" customHeight="1">
      <c r="A71" s="72"/>
      <c r="B71" s="458"/>
      <c r="C71" s="458"/>
      <c r="D71" s="553"/>
      <c r="E71" s="553"/>
      <c r="F71" s="553"/>
      <c r="G71" s="553"/>
      <c r="H71" s="553"/>
      <c r="I71" s="553"/>
      <c r="J71" s="553"/>
      <c r="K71" s="553"/>
      <c r="L71" s="458"/>
      <c r="M71" s="682"/>
      <c r="N71" s="680"/>
      <c r="O71" s="458"/>
      <c r="P71" s="60"/>
      <c r="Q71" s="21"/>
      <c r="R71" s="21"/>
      <c r="S71" s="18"/>
      <c r="T71" s="18"/>
      <c r="U71" s="18"/>
      <c r="V71" s="18"/>
    </row>
    <row r="72" spans="1:22" ht="19.5" customHeight="1">
      <c r="A72" s="458"/>
      <c r="B72" s="458"/>
      <c r="C72" s="458"/>
      <c r="D72" s="683" t="s">
        <v>687</v>
      </c>
      <c r="E72" s="684"/>
      <c r="F72" s="685" t="s">
        <v>688</v>
      </c>
      <c r="G72" s="685"/>
      <c r="H72" s="684"/>
      <c r="I72" s="685" t="s">
        <v>689</v>
      </c>
      <c r="J72" s="685"/>
      <c r="K72" s="686"/>
      <c r="L72" s="458"/>
      <c r="M72" s="458"/>
      <c r="N72" s="458"/>
      <c r="O72" s="458"/>
      <c r="P72" s="60"/>
      <c r="Q72" s="21"/>
      <c r="R72" s="21"/>
      <c r="S72" s="18"/>
      <c r="T72" s="18"/>
      <c r="U72" s="18"/>
      <c r="V72" s="18"/>
    </row>
    <row r="73" spans="1:22" ht="19.5" customHeight="1">
      <c r="A73" s="458"/>
      <c r="B73" s="303"/>
      <c r="C73" s="458"/>
      <c r="D73" s="689"/>
      <c r="E73" s="690"/>
      <c r="F73" s="691"/>
      <c r="G73" s="691"/>
      <c r="H73" s="690"/>
      <c r="I73" s="692"/>
      <c r="J73" s="692"/>
      <c r="K73" s="693"/>
      <c r="L73" s="458"/>
      <c r="M73" s="458"/>
      <c r="N73" s="458"/>
      <c r="O73" s="458"/>
      <c r="P73" s="60"/>
      <c r="Q73" s="21"/>
      <c r="R73" s="21"/>
      <c r="S73" s="18"/>
      <c r="T73" s="18"/>
      <c r="U73" s="18"/>
      <c r="V73" s="18"/>
    </row>
    <row r="74" spans="1:22" ht="19.5" customHeight="1">
      <c r="A74" s="458"/>
      <c r="B74" s="303"/>
      <c r="C74" s="458"/>
      <c r="D74" s="458"/>
      <c r="E74" s="458"/>
      <c r="F74" s="458"/>
      <c r="G74" s="458"/>
      <c r="H74" s="458"/>
      <c r="I74" s="458"/>
      <c r="J74" s="458"/>
      <c r="K74" s="458"/>
      <c r="L74" s="458"/>
      <c r="M74" s="458"/>
      <c r="N74" s="458"/>
      <c r="O74" s="458"/>
      <c r="P74" s="60"/>
      <c r="Q74" s="21"/>
      <c r="R74" s="21"/>
      <c r="S74" s="18"/>
      <c r="T74" s="18"/>
      <c r="U74" s="18"/>
      <c r="V74" s="18"/>
    </row>
    <row r="75" spans="1:22" ht="19.5" customHeight="1">
      <c r="A75" s="458"/>
      <c r="B75" s="458"/>
      <c r="C75" s="458"/>
      <c r="D75" s="75" t="s">
        <v>576</v>
      </c>
      <c r="E75" s="81"/>
      <c r="F75" s="81"/>
      <c r="G75" s="81"/>
      <c r="H75" s="81"/>
      <c r="I75" s="81"/>
      <c r="J75" s="81"/>
      <c r="K75" s="81"/>
      <c r="L75" s="81"/>
      <c r="M75" s="458"/>
      <c r="N75" s="458"/>
      <c r="O75" s="458"/>
      <c r="P75" s="60"/>
      <c r="Q75" s="21"/>
      <c r="R75" s="21"/>
      <c r="S75" s="18"/>
      <c r="T75" s="18"/>
      <c r="U75" s="18"/>
      <c r="V75" s="18"/>
    </row>
    <row r="76" spans="1:22" ht="12.75">
      <c r="A76" s="458"/>
      <c r="B76" s="458"/>
      <c r="C76" s="458"/>
      <c r="D76" s="78"/>
      <c r="E76" s="78"/>
      <c r="F76" s="78"/>
      <c r="G76" s="78"/>
      <c r="H76" s="78"/>
      <c r="I76" s="78"/>
      <c r="J76" s="78"/>
      <c r="K76" s="78"/>
      <c r="L76" s="78"/>
      <c r="M76" s="458"/>
      <c r="N76" s="458"/>
      <c r="O76" s="458"/>
      <c r="P76" s="60"/>
      <c r="Q76" s="21"/>
      <c r="R76" s="21"/>
      <c r="S76" s="18"/>
      <c r="T76" s="18"/>
      <c r="U76" s="18"/>
      <c r="V76" s="18"/>
    </row>
    <row r="77" spans="1:22" ht="12.75">
      <c r="A77" s="458"/>
      <c r="B77" s="458"/>
      <c r="C77" s="458"/>
      <c r="D77" s="81"/>
      <c r="E77" s="81"/>
      <c r="F77" s="81"/>
      <c r="G77" s="81"/>
      <c r="H77" s="81"/>
      <c r="I77" s="81"/>
      <c r="J77" s="81"/>
      <c r="K77" s="81"/>
      <c r="L77" s="81"/>
      <c r="M77" s="458"/>
      <c r="N77" s="458"/>
      <c r="O77" s="458"/>
      <c r="P77" s="60"/>
      <c r="Q77" s="21"/>
      <c r="R77" s="21"/>
      <c r="S77" s="18"/>
      <c r="T77" s="18"/>
      <c r="U77" s="18"/>
      <c r="V77" s="18"/>
    </row>
    <row r="78" spans="1:22" ht="12.75">
      <c r="A78" s="458"/>
      <c r="B78" s="458"/>
      <c r="C78" s="458"/>
      <c r="D78" s="694"/>
      <c r="E78" s="694"/>
      <c r="F78" s="694"/>
      <c r="G78" s="694"/>
      <c r="H78" s="694"/>
      <c r="I78" s="694"/>
      <c r="J78" s="694"/>
      <c r="K78" s="694"/>
      <c r="L78" s="694"/>
      <c r="M78" s="458"/>
      <c r="N78" s="458"/>
      <c r="O78" s="458"/>
      <c r="P78" s="60"/>
      <c r="Q78" s="21"/>
      <c r="R78" s="21"/>
      <c r="S78" s="18"/>
      <c r="T78" s="18"/>
      <c r="U78" s="18"/>
      <c r="V78" s="18"/>
    </row>
    <row r="79" spans="1:22" ht="12.75">
      <c r="A79" s="458"/>
      <c r="B79" s="458"/>
      <c r="C79" s="458"/>
      <c r="D79" s="81"/>
      <c r="E79" s="81"/>
      <c r="F79" s="81"/>
      <c r="G79" s="81"/>
      <c r="H79" s="81"/>
      <c r="I79" s="81"/>
      <c r="J79" s="81"/>
      <c r="K79" s="81"/>
      <c r="L79" s="81"/>
      <c r="M79" s="458"/>
      <c r="N79" s="458"/>
      <c r="O79" s="458"/>
      <c r="P79" s="60"/>
      <c r="Q79" s="21"/>
      <c r="R79" s="21"/>
      <c r="S79" s="18"/>
      <c r="T79" s="18"/>
      <c r="U79" s="18"/>
      <c r="V79" s="18"/>
    </row>
    <row r="80" spans="1:22" ht="12.75">
      <c r="A80" s="459"/>
      <c r="B80" s="458"/>
      <c r="C80" s="458"/>
      <c r="D80" s="458"/>
      <c r="E80" s="458"/>
      <c r="F80" s="458"/>
      <c r="G80" s="458"/>
      <c r="H80" s="458"/>
      <c r="I80" s="458"/>
      <c r="J80" s="458"/>
      <c r="K80" s="458"/>
      <c r="L80" s="458"/>
      <c r="M80" s="458"/>
      <c r="N80" s="458"/>
      <c r="O80" s="458"/>
      <c r="P80" s="60"/>
      <c r="Q80" s="21"/>
      <c r="R80" s="21"/>
      <c r="S80" s="18"/>
      <c r="T80" s="18"/>
      <c r="U80" s="18"/>
      <c r="V80" s="18"/>
    </row>
    <row r="81" spans="1:22" ht="12.75">
      <c r="A81" s="458"/>
      <c r="B81" s="458"/>
      <c r="C81" s="458"/>
      <c r="D81" s="458"/>
      <c r="E81" s="458"/>
      <c r="F81" s="458"/>
      <c r="G81" s="458"/>
      <c r="H81" s="458"/>
      <c r="I81" s="655" t="s">
        <v>967</v>
      </c>
      <c r="J81" s="534">
        <f>IF(Input!E14="","",Input!E14)</f>
      </c>
      <c r="K81" s="580"/>
      <c r="L81" s="490"/>
      <c r="M81" s="458"/>
      <c r="N81" s="458"/>
      <c r="O81" s="458"/>
      <c r="P81" s="60"/>
      <c r="Q81" s="21"/>
      <c r="R81" s="21"/>
      <c r="S81" s="18"/>
      <c r="T81" s="18"/>
      <c r="U81" s="18"/>
      <c r="V81" s="18"/>
    </row>
    <row r="82" spans="1:22" ht="12.75">
      <c r="A82" s="656" t="s">
        <v>1209</v>
      </c>
      <c r="B82" s="458"/>
      <c r="C82" s="458"/>
      <c r="D82" s="458"/>
      <c r="E82" s="458"/>
      <c r="F82" s="458"/>
      <c r="G82" s="458"/>
      <c r="H82" s="458"/>
      <c r="I82" s="458"/>
      <c r="J82" s="458"/>
      <c r="K82" s="458"/>
      <c r="L82" s="458"/>
      <c r="M82" s="458"/>
      <c r="N82" s="458"/>
      <c r="O82" s="458"/>
      <c r="P82" s="60"/>
      <c r="Q82" s="21"/>
      <c r="R82" s="21"/>
      <c r="S82" s="18"/>
      <c r="T82" s="18"/>
      <c r="U82" s="18"/>
      <c r="V82" s="18"/>
    </row>
    <row r="83" spans="1:22" ht="12.75">
      <c r="A83" s="60"/>
      <c r="B83" s="60"/>
      <c r="C83" s="60"/>
      <c r="D83" s="60"/>
      <c r="E83" s="60"/>
      <c r="F83" s="60"/>
      <c r="P83" s="60"/>
      <c r="Q83" s="21"/>
      <c r="R83" s="21"/>
      <c r="S83" s="18"/>
      <c r="T83" s="18"/>
      <c r="U83" s="18"/>
      <c r="V83" s="18"/>
    </row>
    <row r="84" spans="1:22" ht="12.75">
      <c r="A84" s="60"/>
      <c r="B84" s="60"/>
      <c r="C84" s="60"/>
      <c r="D84" s="60"/>
      <c r="E84" s="60"/>
      <c r="F84" s="60"/>
      <c r="P84" s="60"/>
      <c r="Q84" s="21"/>
      <c r="R84" s="21"/>
      <c r="S84" s="18"/>
      <c r="T84" s="18"/>
      <c r="U84" s="18"/>
      <c r="V84" s="18"/>
    </row>
    <row r="85" spans="1:22" ht="12.75">
      <c r="A85" s="60"/>
      <c r="B85" s="60"/>
      <c r="C85" s="60"/>
      <c r="D85" s="60"/>
      <c r="E85" s="60"/>
      <c r="F85" s="60"/>
      <c r="P85" s="60"/>
      <c r="Q85" s="21"/>
      <c r="R85" s="21"/>
      <c r="S85" s="18"/>
      <c r="T85" s="18"/>
      <c r="U85" s="18"/>
      <c r="V85" s="18"/>
    </row>
    <row r="86" spans="1:22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0"/>
      <c r="O86" s="60"/>
      <c r="P86" s="60"/>
      <c r="Q86" s="21"/>
      <c r="R86" s="21"/>
      <c r="S86" s="18"/>
      <c r="T86" s="18"/>
      <c r="U86" s="18"/>
      <c r="V86" s="18"/>
    </row>
    <row r="87" spans="1:22" ht="12.7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21"/>
      <c r="R87" s="21"/>
      <c r="S87" s="18"/>
      <c r="T87" s="18"/>
      <c r="U87" s="18"/>
      <c r="V87" s="18"/>
    </row>
    <row r="88" spans="1:22" ht="12.75">
      <c r="A88" s="65"/>
      <c r="B88" s="65"/>
      <c r="C88" s="320"/>
      <c r="D88" s="65"/>
      <c r="E88" s="102"/>
      <c r="F88" s="65"/>
      <c r="G88" s="320"/>
      <c r="H88" s="65"/>
      <c r="I88" s="60"/>
      <c r="J88" s="60"/>
      <c r="K88" s="320"/>
      <c r="L88" s="239"/>
      <c r="M88" s="60"/>
      <c r="N88" s="60"/>
      <c r="O88" s="60"/>
      <c r="P88" s="60"/>
      <c r="Q88" s="21"/>
      <c r="R88" s="21"/>
      <c r="S88" s="18"/>
      <c r="T88" s="18"/>
      <c r="U88" s="18"/>
      <c r="V88" s="18"/>
    </row>
    <row r="89" spans="1:22" ht="12.75">
      <c r="A89" s="65"/>
      <c r="B89" s="65"/>
      <c r="C89" s="320"/>
      <c r="D89" s="65"/>
      <c r="E89" s="65"/>
      <c r="F89" s="65"/>
      <c r="G89" s="65"/>
      <c r="H89" s="65"/>
      <c r="I89" s="65"/>
      <c r="J89" s="60"/>
      <c r="K89" s="320"/>
      <c r="L89" s="239"/>
      <c r="M89" s="60"/>
      <c r="N89" s="60"/>
      <c r="O89" s="60"/>
      <c r="P89" s="60"/>
      <c r="Q89" s="21"/>
      <c r="R89" s="21"/>
      <c r="S89" s="18"/>
      <c r="T89" s="18"/>
      <c r="U89" s="18"/>
      <c r="V89" s="18"/>
    </row>
    <row r="90" spans="1:22" ht="12.75">
      <c r="A90" s="302">
        <f>IF(B90="","",#REF!+1)</f>
      </c>
      <c r="B90" s="303"/>
      <c r="M90" s="305"/>
      <c r="N90" s="305"/>
      <c r="O90" s="60"/>
      <c r="P90" s="60"/>
      <c r="Q90" s="21"/>
      <c r="R90" s="21"/>
      <c r="S90" s="18"/>
      <c r="T90" s="18"/>
      <c r="U90" s="18"/>
      <c r="V90" s="18"/>
    </row>
    <row r="91" spans="1:22" ht="12.75">
      <c r="A91" s="302">
        <f>IF(B91="","",A90+1)</f>
      </c>
      <c r="B91" s="303"/>
      <c r="M91" s="310"/>
      <c r="N91" s="311"/>
      <c r="O91" s="60"/>
      <c r="P91" s="60"/>
      <c r="Q91" s="21"/>
      <c r="R91" s="21"/>
      <c r="S91" s="18"/>
      <c r="T91" s="18"/>
      <c r="U91" s="18"/>
      <c r="V91" s="18"/>
    </row>
    <row r="92" spans="1:22" ht="12.75">
      <c r="A92" s="302">
        <f>IF(B92="","",A91+1)</f>
      </c>
      <c r="B92" s="303"/>
      <c r="M92" s="310"/>
      <c r="N92" s="311"/>
      <c r="O92" s="60"/>
      <c r="P92" s="60"/>
      <c r="Q92" s="18"/>
      <c r="R92" s="18"/>
      <c r="S92" s="18"/>
      <c r="T92" s="18"/>
      <c r="U92" s="18"/>
      <c r="V92" s="18"/>
    </row>
    <row r="93" spans="15:22" ht="12.75">
      <c r="O93" s="60"/>
      <c r="P93" s="60"/>
      <c r="Q93" s="18"/>
      <c r="R93" s="18"/>
      <c r="S93" s="18"/>
      <c r="T93" s="18"/>
      <c r="U93" s="18"/>
      <c r="V93" s="18"/>
    </row>
    <row r="94" spans="15:22" ht="12.75">
      <c r="O94" s="60"/>
      <c r="P94" s="60"/>
      <c r="Q94" s="18"/>
      <c r="R94" s="18"/>
      <c r="S94" s="18"/>
      <c r="T94" s="18"/>
      <c r="U94" s="18"/>
      <c r="V94" s="18"/>
    </row>
    <row r="95" spans="1:22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18"/>
      <c r="R95" s="18"/>
      <c r="S95" s="18"/>
      <c r="T95" s="18"/>
      <c r="U95" s="18"/>
      <c r="V95" s="18"/>
    </row>
    <row r="96" spans="1:22" ht="12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18"/>
      <c r="R96" s="18"/>
      <c r="S96" s="18"/>
      <c r="T96" s="18"/>
      <c r="U96" s="18"/>
      <c r="V96" s="18"/>
    </row>
    <row r="97" spans="1:22" ht="12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18"/>
      <c r="R97" s="18"/>
      <c r="S97" s="18"/>
      <c r="T97" s="18"/>
      <c r="U97" s="18"/>
      <c r="V97" s="18"/>
    </row>
    <row r="98" spans="1:22" ht="12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18"/>
      <c r="R98" s="18"/>
      <c r="S98" s="18"/>
      <c r="T98" s="18"/>
      <c r="U98" s="18"/>
      <c r="V98" s="18"/>
    </row>
    <row r="99" spans="1:22" ht="12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18"/>
      <c r="R99" s="18"/>
      <c r="S99" s="18"/>
      <c r="T99" s="18"/>
      <c r="U99" s="18"/>
      <c r="V99" s="18"/>
    </row>
    <row r="100" spans="1:22" ht="12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18"/>
      <c r="R100" s="18"/>
      <c r="S100" s="18"/>
      <c r="T100" s="18"/>
      <c r="U100" s="18"/>
      <c r="V100" s="18"/>
    </row>
    <row r="101" spans="1:22" ht="12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18"/>
      <c r="R101" s="18"/>
      <c r="S101" s="18"/>
      <c r="T101" s="18"/>
      <c r="U101" s="18"/>
      <c r="V101" s="18"/>
    </row>
    <row r="102" spans="1:22" ht="12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18"/>
      <c r="R102" s="18"/>
      <c r="S102" s="18"/>
      <c r="T102" s="18"/>
      <c r="U102" s="18"/>
      <c r="V102" s="18"/>
    </row>
    <row r="103" spans="1:22" ht="12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18"/>
      <c r="R103" s="18"/>
      <c r="S103" s="18"/>
      <c r="T103" s="18"/>
      <c r="U103" s="18"/>
      <c r="V103" s="18"/>
    </row>
    <row r="104" spans="1:22" ht="12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18"/>
      <c r="R104" s="18"/>
      <c r="S104" s="18"/>
      <c r="T104" s="18"/>
      <c r="U104" s="18"/>
      <c r="V104" s="18"/>
    </row>
    <row r="105" spans="1:22" ht="12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18"/>
      <c r="R105" s="18"/>
      <c r="S105" s="18"/>
      <c r="T105" s="18"/>
      <c r="U105" s="18"/>
      <c r="V105" s="18"/>
    </row>
    <row r="106" spans="1:22" ht="12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18"/>
      <c r="R106" s="18"/>
      <c r="S106" s="18"/>
      <c r="T106" s="18"/>
      <c r="U106" s="18"/>
      <c r="V106" s="18"/>
    </row>
    <row r="107" spans="1:22" ht="12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18"/>
      <c r="R107" s="18"/>
      <c r="S107" s="18"/>
      <c r="T107" s="18"/>
      <c r="U107" s="18"/>
      <c r="V107" s="18"/>
    </row>
    <row r="108" spans="1:22" ht="12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18"/>
      <c r="R108" s="18"/>
      <c r="S108" s="18"/>
      <c r="T108" s="18"/>
      <c r="U108" s="18"/>
      <c r="V108" s="18"/>
    </row>
    <row r="109" spans="1:22" ht="12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18"/>
      <c r="R109" s="18"/>
      <c r="S109" s="18"/>
      <c r="T109" s="18"/>
      <c r="U109" s="18"/>
      <c r="V109" s="18"/>
    </row>
    <row r="110" spans="1:22" ht="12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18"/>
      <c r="R110" s="18"/>
      <c r="S110" s="18"/>
      <c r="T110" s="18"/>
      <c r="U110" s="18"/>
      <c r="V110" s="18"/>
    </row>
    <row r="111" spans="1:22" ht="12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18"/>
      <c r="R111" s="18"/>
      <c r="S111" s="18"/>
      <c r="T111" s="18"/>
      <c r="U111" s="18"/>
      <c r="V111" s="18"/>
    </row>
    <row r="112" spans="1:22" ht="12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18"/>
      <c r="R112" s="18"/>
      <c r="S112" s="18"/>
      <c r="T112" s="18"/>
      <c r="U112" s="18"/>
      <c r="V112" s="18"/>
    </row>
    <row r="113" spans="1:22" ht="12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18"/>
      <c r="R113" s="18"/>
      <c r="S113" s="18"/>
      <c r="T113" s="18"/>
      <c r="U113" s="18"/>
      <c r="V113" s="18"/>
    </row>
    <row r="114" spans="1:22" ht="12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18"/>
      <c r="R114" s="18"/>
      <c r="S114" s="18"/>
      <c r="T114" s="18"/>
      <c r="U114" s="18"/>
      <c r="V114" s="18"/>
    </row>
    <row r="115" spans="1:22" ht="12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18"/>
      <c r="R115" s="18"/>
      <c r="S115" s="18"/>
      <c r="T115" s="18"/>
      <c r="U115" s="18"/>
      <c r="V115" s="18"/>
    </row>
    <row r="116" spans="1:22" ht="12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18"/>
      <c r="R116" s="18"/>
      <c r="S116" s="18"/>
      <c r="T116" s="18"/>
      <c r="U116" s="18"/>
      <c r="V116" s="18"/>
    </row>
    <row r="117" spans="1:22" ht="12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18"/>
      <c r="R117" s="18"/>
      <c r="S117" s="18"/>
      <c r="T117" s="18"/>
      <c r="U117" s="18"/>
      <c r="V117" s="18"/>
    </row>
    <row r="118" spans="1:22" ht="12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18"/>
      <c r="R118" s="18"/>
      <c r="S118" s="18"/>
      <c r="T118" s="18"/>
      <c r="U118" s="18"/>
      <c r="V118" s="18"/>
    </row>
    <row r="119" spans="1:22" ht="12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18"/>
      <c r="R119" s="18"/>
      <c r="S119" s="18"/>
      <c r="T119" s="18"/>
      <c r="U119" s="18"/>
      <c r="V119" s="18"/>
    </row>
    <row r="120" spans="1:22" ht="12.7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18"/>
      <c r="R120" s="18"/>
      <c r="S120" s="18"/>
      <c r="T120" s="18"/>
      <c r="U120" s="18"/>
      <c r="V120" s="18"/>
    </row>
    <row r="121" spans="1:22" ht="12.7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18"/>
      <c r="R121" s="18"/>
      <c r="S121" s="18"/>
      <c r="T121" s="18"/>
      <c r="U121" s="18"/>
      <c r="V121" s="18"/>
    </row>
    <row r="122" spans="1:16" ht="12.7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</row>
  </sheetData>
  <sheetProtection sheet="1"/>
  <mergeCells count="6">
    <mergeCell ref="A12:O12"/>
    <mergeCell ref="G13:G16"/>
    <mergeCell ref="A1:C1"/>
    <mergeCell ref="A9:O9"/>
    <mergeCell ref="A10:O10"/>
    <mergeCell ref="A11:O11"/>
  </mergeCells>
  <dataValidations count="1">
    <dataValidation type="list" allowBlank="1" showInputMessage="1" showErrorMessage="1" sqref="E41:E54 N41:N42 H41:H50 K41:K46 N62:N63 B62:B63 E62:E63 H62:H63 K62:K63 B41:B54">
      <formula1>$D$32:$D$35</formula1>
    </dataValidation>
  </dataValidations>
  <printOptions/>
  <pageMargins left="0.5" right="0.5" top="0.5" bottom="0.5" header="0" footer="0"/>
  <pageSetup fitToHeight="1" fitToWidth="1"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Q8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3.421875" style="0" customWidth="1"/>
    <col min="2" max="2" width="12.7109375" style="0" customWidth="1"/>
    <col min="3" max="3" width="22.57421875" style="0" customWidth="1"/>
    <col min="4" max="4" width="12.7109375" style="0" customWidth="1"/>
    <col min="5" max="5" width="13.00390625" style="0" customWidth="1"/>
    <col min="6" max="6" width="14.421875" style="0" customWidth="1"/>
    <col min="7" max="7" width="25.8515625" style="0" customWidth="1"/>
    <col min="8" max="8" width="19.28125" style="0" customWidth="1"/>
    <col min="9" max="9" width="16.7109375" style="0" customWidth="1"/>
  </cols>
  <sheetData>
    <row r="1" spans="1:251" ht="12.75">
      <c r="A1" s="1020" t="s">
        <v>834</v>
      </c>
      <c r="B1" s="1020"/>
      <c r="C1" s="1020"/>
      <c r="D1" s="1020"/>
      <c r="E1" s="1020"/>
      <c r="F1" s="1020"/>
      <c r="G1" s="1020"/>
      <c r="I1" s="61"/>
      <c r="J1" s="21"/>
      <c r="K1" s="21"/>
      <c r="L1" s="21"/>
      <c r="M1" s="21"/>
      <c r="IQ1" t="s">
        <v>838</v>
      </c>
    </row>
    <row r="2" spans="1:251" ht="12.75">
      <c r="A2" s="61"/>
      <c r="B2" s="459"/>
      <c r="C2" s="61"/>
      <c r="D2" s="61"/>
      <c r="E2" s="61"/>
      <c r="F2" s="61"/>
      <c r="G2" s="61"/>
      <c r="H2" s="61"/>
      <c r="I2" s="61"/>
      <c r="J2" s="21"/>
      <c r="K2" s="21"/>
      <c r="L2" s="21"/>
      <c r="M2" s="21"/>
      <c r="IQ2" s="1">
        <f>IF(Data!A271="","",Data!A271)</f>
      </c>
    </row>
    <row r="3" spans="1:251" ht="15.75">
      <c r="A3" s="695" t="s">
        <v>660</v>
      </c>
      <c r="B3" s="668"/>
      <c r="C3" s="510"/>
      <c r="D3" s="65"/>
      <c r="E3" s="61"/>
      <c r="F3" s="61"/>
      <c r="G3" s="61"/>
      <c r="H3" s="61"/>
      <c r="I3" s="61"/>
      <c r="J3" s="21"/>
      <c r="K3" s="21"/>
      <c r="L3" s="21"/>
      <c r="M3" s="21"/>
      <c r="IQ3" s="1">
        <f>IF(Data!A272="","",Data!A272)</f>
      </c>
    </row>
    <row r="4" spans="1:251" ht="12.75">
      <c r="A4" s="458"/>
      <c r="B4" s="495"/>
      <c r="C4" s="700" t="s">
        <v>705</v>
      </c>
      <c r="D4" s="118"/>
      <c r="E4" s="61"/>
      <c r="F4" s="61"/>
      <c r="G4" s="61"/>
      <c r="H4" s="61"/>
      <c r="I4" s="61"/>
      <c r="J4" s="21"/>
      <c r="K4" s="21"/>
      <c r="L4" s="21"/>
      <c r="M4" s="21"/>
      <c r="IQ4" s="1">
        <f>IF(Data!A273="","",Data!A273)</f>
      </c>
    </row>
    <row r="5" spans="1:251" ht="12.75">
      <c r="A5" s="701"/>
      <c r="B5" s="510"/>
      <c r="C5" s="510"/>
      <c r="D5" s="65"/>
      <c r="E5" s="61"/>
      <c r="F5" s="61"/>
      <c r="G5" s="61"/>
      <c r="H5" s="61"/>
      <c r="I5" s="61"/>
      <c r="J5" s="21"/>
      <c r="K5" s="21"/>
      <c r="L5" s="21"/>
      <c r="M5" s="21"/>
      <c r="IQ5" s="1">
        <f>IF(Data!A274="","",Data!A274)</f>
      </c>
    </row>
    <row r="6" spans="1:251" ht="12.75">
      <c r="A6" s="61" t="s">
        <v>47</v>
      </c>
      <c r="B6" s="61"/>
      <c r="C6" s="61"/>
      <c r="D6" s="61"/>
      <c r="E6" s="61"/>
      <c r="F6" s="61"/>
      <c r="G6" s="61"/>
      <c r="H6" s="61"/>
      <c r="I6" s="61"/>
      <c r="J6" s="21"/>
      <c r="K6" s="21"/>
      <c r="L6" s="21"/>
      <c r="M6" s="21"/>
      <c r="IQ6" s="1">
        <f>IF(Data!A275="","",Data!A275)</f>
      </c>
    </row>
    <row r="7" spans="1:251" ht="4.5" customHeight="1">
      <c r="A7" s="85"/>
      <c r="B7" s="86"/>
      <c r="C7" s="86"/>
      <c r="D7" s="86"/>
      <c r="E7" s="86"/>
      <c r="F7" s="86"/>
      <c r="G7" s="86"/>
      <c r="H7" s="86"/>
      <c r="I7" s="87"/>
      <c r="J7" s="21"/>
      <c r="K7" s="21"/>
      <c r="L7" s="21"/>
      <c r="M7" s="21"/>
      <c r="IQ7" s="1">
        <f>IF(Data!A276="","",Data!A276)</f>
      </c>
    </row>
    <row r="8" spans="1:251" ht="15" customHeight="1">
      <c r="A8" s="61" t="s">
        <v>592</v>
      </c>
      <c r="B8" s="61"/>
      <c r="C8" s="61"/>
      <c r="D8" s="61"/>
      <c r="E8" s="61"/>
      <c r="F8" s="61"/>
      <c r="G8" s="61"/>
      <c r="H8" s="61"/>
      <c r="I8" s="8" t="str">
        <f>Main!J1</f>
        <v>Revised 4/22/16</v>
      </c>
      <c r="J8" s="21"/>
      <c r="K8" s="21"/>
      <c r="L8" s="21"/>
      <c r="M8" s="21"/>
      <c r="IQ8" s="1">
        <f>IF(Data!A277="","",Data!A277)</f>
      </c>
    </row>
    <row r="9" spans="1:251" ht="15" customHeight="1">
      <c r="A9" s="1027" t="s">
        <v>84</v>
      </c>
      <c r="B9" s="1028"/>
      <c r="C9" s="1028"/>
      <c r="D9" s="1028"/>
      <c r="E9" s="1028"/>
      <c r="F9" s="1028"/>
      <c r="G9" s="1028"/>
      <c r="H9" s="1028"/>
      <c r="I9" s="1028"/>
      <c r="J9" s="6"/>
      <c r="K9" s="6"/>
      <c r="L9" s="21"/>
      <c r="M9" s="21"/>
      <c r="IQ9" s="1">
        <f>IF(Data!A278="","",Data!A278)</f>
      </c>
    </row>
    <row r="10" spans="1:251" ht="15" customHeight="1">
      <c r="A10" s="1029" t="s">
        <v>100</v>
      </c>
      <c r="B10" s="1028"/>
      <c r="C10" s="1028"/>
      <c r="D10" s="1028"/>
      <c r="E10" s="1028"/>
      <c r="F10" s="1028"/>
      <c r="G10" s="1028"/>
      <c r="H10" s="1028"/>
      <c r="I10" s="1028"/>
      <c r="J10" s="6"/>
      <c r="K10" s="6"/>
      <c r="L10" s="21"/>
      <c r="M10" s="21"/>
      <c r="IQ10" s="1">
        <f>IF(Data!A279="","",Data!A279)</f>
      </c>
    </row>
    <row r="11" spans="1:251" ht="15" customHeight="1">
      <c r="A11" s="1029" t="s">
        <v>101</v>
      </c>
      <c r="B11" s="1028"/>
      <c r="C11" s="1028"/>
      <c r="D11" s="1028"/>
      <c r="E11" s="1028"/>
      <c r="F11" s="1028"/>
      <c r="G11" s="1028"/>
      <c r="H11" s="1028"/>
      <c r="I11" s="1028"/>
      <c r="J11" s="6"/>
      <c r="K11" s="6"/>
      <c r="L11" s="21"/>
      <c r="M11" s="21"/>
      <c r="IQ11" s="1">
        <f>IF(Data!A280="","",Data!A280)</f>
      </c>
    </row>
    <row r="12" spans="1:251" ht="15" customHeight="1">
      <c r="A12" s="1032" t="s">
        <v>1205</v>
      </c>
      <c r="B12" s="1028"/>
      <c r="C12" s="1028"/>
      <c r="D12" s="1028"/>
      <c r="E12" s="1028"/>
      <c r="F12" s="1028"/>
      <c r="G12" s="1028"/>
      <c r="H12" s="1028"/>
      <c r="I12" s="1028"/>
      <c r="J12" s="6"/>
      <c r="K12" s="6"/>
      <c r="L12" s="21"/>
      <c r="M12" s="21"/>
      <c r="IQ12" s="1">
        <f>IF(Data!A281="","",Data!A281)</f>
      </c>
    </row>
    <row r="13" spans="1:251" ht="15" customHeight="1">
      <c r="A13" s="461" t="s">
        <v>954</v>
      </c>
      <c r="B13" s="462">
        <f>IF(Input!$B$7="","",Input!$B$7)</f>
      </c>
      <c r="C13" s="463"/>
      <c r="D13" s="1023" t="s">
        <v>106</v>
      </c>
      <c r="E13" s="465">
        <v>1</v>
      </c>
      <c r="F13" s="466">
        <f>IF(Input!$C$64="","",Input!$C$64)</f>
      </c>
      <c r="G13" s="465">
        <v>5</v>
      </c>
      <c r="H13" s="466">
        <f>IF(Input!$E$64="","",Input!$E$64)</f>
      </c>
      <c r="I13" s="458"/>
      <c r="L13" s="21"/>
      <c r="M13" s="21"/>
      <c r="IQ13" s="1">
        <f>IF(Data!A282="","",Data!A282)</f>
      </c>
    </row>
    <row r="14" spans="1:251" ht="15" customHeight="1">
      <c r="A14" s="461" t="s">
        <v>102</v>
      </c>
      <c r="B14" s="462">
        <f>IF(Input!$B$8="","",Input!$B$8)</f>
      </c>
      <c r="C14" s="463"/>
      <c r="D14" s="1024"/>
      <c r="E14" s="465">
        <v>2</v>
      </c>
      <c r="F14" s="466">
        <f>IF(Input!$C$65="","",Input!$C$65)</f>
      </c>
      <c r="G14" s="465">
        <v>6</v>
      </c>
      <c r="H14" s="466">
        <f>IF(Input!$E$65="","",Input!$E$65)</f>
      </c>
      <c r="I14" s="458"/>
      <c r="L14" s="21"/>
      <c r="M14" s="21"/>
      <c r="IQ14" s="1">
        <f>IF(Data!A283="","",Data!A283)</f>
      </c>
    </row>
    <row r="15" spans="1:251" ht="15" customHeight="1">
      <c r="A15" s="461" t="s">
        <v>983</v>
      </c>
      <c r="B15" s="462">
        <f>IF(Input!$B$10="","",Input!$B$10)</f>
      </c>
      <c r="C15" s="463"/>
      <c r="D15" s="1024"/>
      <c r="E15" s="465">
        <v>3</v>
      </c>
      <c r="F15" s="466">
        <f>IF(Input!$C$66="","",Input!$C$66)</f>
      </c>
      <c r="G15" s="465">
        <v>7</v>
      </c>
      <c r="H15" s="466">
        <f>IF(Input!$E$66="","",Input!$E$66)</f>
      </c>
      <c r="I15" s="458"/>
      <c r="L15" s="21"/>
      <c r="M15" s="21"/>
      <c r="R15" s="180"/>
      <c r="S15" s="4"/>
      <c r="T15" s="180"/>
      <c r="U15" s="4"/>
      <c r="IQ15" s="1">
        <f>IF(Data!A284="","",Data!A284)</f>
      </c>
    </row>
    <row r="16" spans="1:251" ht="15" customHeight="1">
      <c r="A16" s="461" t="s">
        <v>955</v>
      </c>
      <c r="B16" s="462">
        <f>IF(Input!$E$5="","",Input!$E$5)</f>
      </c>
      <c r="C16" s="463"/>
      <c r="D16" s="1025"/>
      <c r="E16" s="465">
        <v>4</v>
      </c>
      <c r="F16" s="466">
        <f>IF(Input!$C$67="","",Input!$C$67)</f>
      </c>
      <c r="G16" s="465">
        <v>8</v>
      </c>
      <c r="H16" s="466">
        <f>IF(Input!$E$67="","",Input!$E$67)</f>
      </c>
      <c r="I16" s="458"/>
      <c r="L16" s="21"/>
      <c r="M16" s="21"/>
      <c r="R16" s="180"/>
      <c r="S16" s="4"/>
      <c r="T16" s="180"/>
      <c r="U16" s="4"/>
      <c r="IQ16" s="1">
        <f>IF(Data!A285="","",Data!A285)</f>
      </c>
    </row>
    <row r="17" spans="1:251" ht="15" customHeight="1">
      <c r="A17" s="475" t="s">
        <v>49</v>
      </c>
      <c r="B17" s="462">
        <f>IF(Input!$E$6="","",Input!$E$6)</f>
      </c>
      <c r="C17" s="463"/>
      <c r="D17" s="461" t="s">
        <v>1256</v>
      </c>
      <c r="E17" s="476">
        <f>IF(Input!$B$68="","",Input!$B$68)</f>
      </c>
      <c r="F17" s="458"/>
      <c r="G17" s="458"/>
      <c r="H17" s="458"/>
      <c r="I17" s="458"/>
      <c r="L17" s="21"/>
      <c r="M17" s="21"/>
      <c r="R17" s="180"/>
      <c r="S17" s="4"/>
      <c r="T17" s="180"/>
      <c r="U17" s="4"/>
      <c r="IQ17" s="1">
        <f>IF(Data!A286="","",Data!A286)</f>
      </c>
    </row>
    <row r="18" spans="1:251" ht="15" customHeight="1">
      <c r="A18" s="475" t="s">
        <v>105</v>
      </c>
      <c r="B18" s="462">
        <f>IF(Input!$E$7="","",Input!$E$7)</f>
      </c>
      <c r="C18" s="463"/>
      <c r="D18" s="461" t="s">
        <v>1255</v>
      </c>
      <c r="E18" s="476">
        <f>IF('Setup Bm Input'!$A$46="","",'Setup Bm Input'!$A$46)</f>
      </c>
      <c r="F18" s="458"/>
      <c r="G18" s="467" t="s">
        <v>559</v>
      </c>
      <c r="H18" s="571"/>
      <c r="I18" s="468"/>
      <c r="L18" s="21"/>
      <c r="M18" s="21"/>
      <c r="R18" s="180"/>
      <c r="S18" s="4"/>
      <c r="T18" s="180"/>
      <c r="U18" s="4"/>
      <c r="IQ18" s="1">
        <f>IF(Data!A287="","",Data!A287)</f>
      </c>
    </row>
    <row r="19" spans="1:251" ht="15" customHeight="1">
      <c r="A19" s="475" t="s">
        <v>48</v>
      </c>
      <c r="B19" s="462">
        <f>IF(Input!$E$8="","",Input!$E$8)</f>
      </c>
      <c r="C19" s="463"/>
      <c r="D19" s="458"/>
      <c r="E19" s="458"/>
      <c r="F19" s="458"/>
      <c r="G19" s="470" t="s">
        <v>50</v>
      </c>
      <c r="H19" s="471">
        <f ca="1">TODAY()</f>
        <v>42480</v>
      </c>
      <c r="I19" s="468"/>
      <c r="L19" s="21"/>
      <c r="M19" s="21"/>
      <c r="R19" s="180"/>
      <c r="S19" s="4"/>
      <c r="T19" s="180"/>
      <c r="U19" s="4"/>
      <c r="IQ19" s="1">
        <f>IF(Data!A288="","",Data!A288)</f>
      </c>
    </row>
    <row r="20" spans="1:251" ht="15" customHeight="1">
      <c r="A20" s="461" t="s">
        <v>981</v>
      </c>
      <c r="B20" s="462">
        <f>IF(Input!$B$37="","",Input!$B$37)</f>
      </c>
      <c r="C20" s="463"/>
      <c r="D20" s="458"/>
      <c r="E20" s="458"/>
      <c r="F20" s="458"/>
      <c r="G20" s="461" t="s">
        <v>976</v>
      </c>
      <c r="H20" s="472">
        <f>IF(Input!$B$30="","",Input!$B$30)</f>
      </c>
      <c r="I20" s="473"/>
      <c r="L20" s="21"/>
      <c r="M20" s="21"/>
      <c r="R20" s="180"/>
      <c r="S20" s="4"/>
      <c r="T20" s="180"/>
      <c r="U20" s="4"/>
      <c r="IQ20" s="1">
        <f>IF(Data!A289="","",Data!A289)</f>
      </c>
    </row>
    <row r="21" spans="1:251" ht="15" customHeight="1">
      <c r="A21" s="461" t="s">
        <v>97</v>
      </c>
      <c r="B21" s="538"/>
      <c r="C21" s="539"/>
      <c r="D21" s="458"/>
      <c r="E21" s="458"/>
      <c r="F21" s="458"/>
      <c r="G21" s="461" t="s">
        <v>977</v>
      </c>
      <c r="H21" s="472">
        <f>IF(Input!$B$31="","",Input!$B$31)</f>
      </c>
      <c r="I21" s="473"/>
      <c r="L21" s="21"/>
      <c r="M21" s="21"/>
      <c r="R21" s="180"/>
      <c r="S21" s="4"/>
      <c r="T21" s="180"/>
      <c r="U21" s="4"/>
      <c r="IQ21" s="1">
        <f>IF(Data!A290="","",Data!A290)</f>
      </c>
    </row>
    <row r="22" spans="1:21" ht="15" customHeight="1">
      <c r="A22" s="461" t="s">
        <v>103</v>
      </c>
      <c r="B22" s="462">
        <f>IF(Input!$B$9="","",Input!$B$9)</f>
      </c>
      <c r="C22" s="463"/>
      <c r="D22" s="458"/>
      <c r="E22" s="458"/>
      <c r="F22" s="458"/>
      <c r="G22" s="461" t="s">
        <v>972</v>
      </c>
      <c r="H22" s="472">
        <f>IF(Input!$B$32="","",Input!$B$32)</f>
      </c>
      <c r="I22" s="473"/>
      <c r="J22" s="55"/>
      <c r="K22" s="57"/>
      <c r="L22" s="21"/>
      <c r="M22" s="21"/>
      <c r="R22" s="180"/>
      <c r="S22" s="4"/>
      <c r="T22" s="180"/>
      <c r="U22" s="4"/>
    </row>
    <row r="23" spans="1:21" ht="15" customHeight="1">
      <c r="A23" s="461" t="s">
        <v>104</v>
      </c>
      <c r="B23" s="481">
        <f>'Setup Bm Input'!$B$34</f>
      </c>
      <c r="C23" s="463">
        <f>IF(Input!$B$6="","",IF(Input!$B$6="E","in.",IF(Input!$B$6="M","mm")))</f>
      </c>
      <c r="D23" s="458"/>
      <c r="E23" s="458"/>
      <c r="F23" s="458"/>
      <c r="G23" s="461" t="s">
        <v>978</v>
      </c>
      <c r="H23" s="472">
        <f>IF(Input!$B$33="","",Input!$B$33)</f>
      </c>
      <c r="I23" s="473"/>
      <c r="J23" s="159"/>
      <c r="K23" s="57"/>
      <c r="L23" s="21"/>
      <c r="M23" s="21"/>
      <c r="R23" s="180"/>
      <c r="S23" s="4"/>
      <c r="T23" s="180"/>
      <c r="U23" s="4"/>
    </row>
    <row r="24" spans="1:21" ht="15" customHeight="1">
      <c r="A24" s="458"/>
      <c r="B24" s="458"/>
      <c r="C24" s="458"/>
      <c r="D24" s="458"/>
      <c r="E24" s="458"/>
      <c r="F24" s="458"/>
      <c r="G24" s="461" t="s">
        <v>975</v>
      </c>
      <c r="H24" s="472">
        <f>IF(Input!$B$34="","",Input!$B$34)</f>
      </c>
      <c r="I24" s="473"/>
      <c r="K24" s="21"/>
      <c r="L24" s="21"/>
      <c r="M24" s="21"/>
      <c r="R24" s="180"/>
      <c r="S24" s="4"/>
      <c r="T24" s="180"/>
      <c r="U24" s="4"/>
    </row>
    <row r="25" spans="1:21" ht="15" customHeight="1">
      <c r="A25" s="458"/>
      <c r="B25" s="458"/>
      <c r="C25" s="458"/>
      <c r="D25" s="458"/>
      <c r="E25" s="458"/>
      <c r="F25" s="458"/>
      <c r="G25" s="461" t="s">
        <v>979</v>
      </c>
      <c r="H25" s="472">
        <f>IF(Input!$B$35="","",Input!$B$35)</f>
      </c>
      <c r="I25" s="473"/>
      <c r="K25" s="21"/>
      <c r="L25" s="21"/>
      <c r="M25" s="21"/>
      <c r="R25" s="180"/>
      <c r="S25" s="4"/>
      <c r="T25" s="180"/>
      <c r="U25" s="4"/>
    </row>
    <row r="26" spans="1:21" ht="15" customHeight="1">
      <c r="A26" s="458"/>
      <c r="B26" s="458"/>
      <c r="C26" s="458"/>
      <c r="D26" s="458"/>
      <c r="E26" s="458"/>
      <c r="F26" s="458"/>
      <c r="G26" s="461" t="s">
        <v>980</v>
      </c>
      <c r="H26" s="472">
        <f>IF(Input!$B$36="","",Input!$B$36)</f>
      </c>
      <c r="I26" s="473"/>
      <c r="K26" s="21"/>
      <c r="L26" s="21"/>
      <c r="M26" s="21"/>
      <c r="R26" s="180"/>
      <c r="S26" s="4"/>
      <c r="T26" s="180"/>
      <c r="U26" s="4"/>
    </row>
    <row r="27" spans="1:21" ht="15" customHeight="1">
      <c r="A27" s="82" t="s">
        <v>593</v>
      </c>
      <c r="B27" s="939">
        <f>IF($D$4="","",VLOOKUP($D$4,Data!$A$271:$AI$290,2,FALSE))</f>
      </c>
      <c r="C27" s="61" t="s">
        <v>594</v>
      </c>
      <c r="D27" s="61"/>
      <c r="E27" s="61"/>
      <c r="F27" s="61"/>
      <c r="G27" s="61"/>
      <c r="H27" s="61"/>
      <c r="I27" s="61"/>
      <c r="K27" s="21"/>
      <c r="L27" s="21"/>
      <c r="M27" s="21"/>
      <c r="R27" s="180"/>
      <c r="S27" s="4"/>
      <c r="T27" s="180"/>
      <c r="U27" s="4"/>
    </row>
    <row r="28" spans="1:21" ht="15" customHeight="1">
      <c r="A28" s="82" t="s">
        <v>593</v>
      </c>
      <c r="B28" s="176">
        <f>IF(D4="","",D4)</f>
      </c>
      <c r="C28" s="61" t="s">
        <v>595</v>
      </c>
      <c r="D28" s="702"/>
      <c r="E28" s="61"/>
      <c r="F28" s="61"/>
      <c r="G28" s="61"/>
      <c r="H28" s="61"/>
      <c r="I28" s="61"/>
      <c r="K28" s="21"/>
      <c r="L28" s="21"/>
      <c r="M28" s="21"/>
      <c r="R28" s="180"/>
      <c r="S28" s="4"/>
      <c r="T28" s="180"/>
      <c r="U28" s="4"/>
    </row>
    <row r="29" spans="1:21" ht="15" customHeight="1">
      <c r="A29" s="61"/>
      <c r="B29" s="61"/>
      <c r="C29" s="61">
        <f>IF(Input!B6="","",IF(Input!B6="E","",IF(Input!B6="M","MATERIAL CODES SHOULD BE IN METRIC")))</f>
      </c>
      <c r="D29" s="61"/>
      <c r="E29" s="61"/>
      <c r="F29" s="61"/>
      <c r="G29" s="61"/>
      <c r="H29" s="61"/>
      <c r="I29" s="61"/>
      <c r="K29" s="21"/>
      <c r="L29" s="21"/>
      <c r="M29" s="21"/>
      <c r="R29" s="180"/>
      <c r="S29" s="4"/>
      <c r="T29" s="180"/>
      <c r="U29" s="4"/>
    </row>
    <row r="30" spans="1:21" ht="15" customHeight="1">
      <c r="A30" s="61"/>
      <c r="B30" s="61" t="s">
        <v>596</v>
      </c>
      <c r="C30" s="703">
        <f>Input!$B$7</f>
        <v>0</v>
      </c>
      <c r="D30" s="61"/>
      <c r="E30" s="61"/>
      <c r="F30" s="61"/>
      <c r="G30" s="61"/>
      <c r="H30" s="61"/>
      <c r="I30" s="61"/>
      <c r="K30" s="21"/>
      <c r="L30" s="21"/>
      <c r="M30" s="21"/>
      <c r="R30" s="180"/>
      <c r="S30" s="4"/>
      <c r="T30" s="180"/>
      <c r="U30" s="4"/>
    </row>
    <row r="31" spans="1:13" ht="15" customHeight="1" thickBot="1">
      <c r="A31" s="61"/>
      <c r="B31" s="61" t="s">
        <v>597</v>
      </c>
      <c r="C31" s="61">
        <f>Input!$B$9</f>
        <v>0</v>
      </c>
      <c r="D31" s="61"/>
      <c r="E31" s="74"/>
      <c r="F31" s="61"/>
      <c r="G31" s="61"/>
      <c r="H31" s="61"/>
      <c r="I31" s="74"/>
      <c r="J31" s="21"/>
      <c r="K31" s="21"/>
      <c r="L31" s="21"/>
      <c r="M31" s="21"/>
    </row>
    <row r="32" spans="1:13" ht="15" customHeight="1" thickBot="1">
      <c r="A32" s="61"/>
      <c r="B32" s="167" t="s">
        <v>598</v>
      </c>
      <c r="C32" s="168" t="s">
        <v>599</v>
      </c>
      <c r="D32" s="168" t="s">
        <v>145</v>
      </c>
      <c r="E32" s="169" t="s">
        <v>600</v>
      </c>
      <c r="F32" s="171" t="s">
        <v>1181</v>
      </c>
      <c r="G32" s="170" t="s">
        <v>601</v>
      </c>
      <c r="H32" s="171" t="s">
        <v>840</v>
      </c>
      <c r="I32" s="172" t="s">
        <v>1184</v>
      </c>
      <c r="J32" s="21"/>
      <c r="K32" s="21"/>
      <c r="L32" s="21"/>
      <c r="M32" s="21"/>
    </row>
    <row r="33" spans="1:13" ht="15" customHeight="1">
      <c r="A33" s="20" t="s">
        <v>76</v>
      </c>
      <c r="B33" s="181">
        <f>IF($D$4="","",VLOOKUP($D$4,Data!$A$296:$AI$315,4,FALSE))</f>
      </c>
      <c r="C33" s="173">
        <f>IF($D$4="","",VLOOKUP($D$4,Data!$A$296:$AI$315,5,FALSE))</f>
      </c>
      <c r="D33" s="173">
        <f>IF($D$4="","",VLOOKUP($D$4,Data!$A$271:$AI$290,4,FALSE))</f>
      </c>
      <c r="E33" s="173">
        <f>IF($D$4="","",VLOOKUP($D$4,Data!$A$271:$AI$290,5,FALSE))</f>
      </c>
      <c r="F33" s="173">
        <f>IF($D$4="","",VLOOKUP($D$4,Data!$A$271:$AI$290,3,FALSE))</f>
      </c>
      <c r="G33" s="173">
        <f>IF($F33="","",VLOOKUP($F33,Data!$A$71:$K$146,2,FALSE))</f>
      </c>
      <c r="H33" s="173">
        <f>IF($F33="","",VLOOKUP($F33,Data!$A$71:$K$146,7,FALSE))</f>
      </c>
      <c r="I33" s="183">
        <f>IF($F33="","",VLOOKUP($F33,Data!$A$71:$K$146,11,FALSE))</f>
      </c>
      <c r="J33" s="21"/>
      <c r="K33" s="21"/>
      <c r="L33" s="21"/>
      <c r="M33" s="21"/>
    </row>
    <row r="34" spans="1:13" ht="15" customHeight="1">
      <c r="A34" s="20" t="s">
        <v>77</v>
      </c>
      <c r="B34" s="182">
        <f>IF($D$4="","",VLOOKUP($D$4,Data!$A$296:$AI$315,7,FALSE))</f>
      </c>
      <c r="C34" s="157">
        <f>IF($D$4="","",VLOOKUP($D$4,Data!$A$296:$AI$315,8,FALSE))</f>
      </c>
      <c r="D34" s="157">
        <f>IF($D$4="","",VLOOKUP($D$4,Data!$A$271:$AI$290,7,FALSE))</f>
      </c>
      <c r="E34" s="157">
        <f>IF($D$4="","",VLOOKUP($D$4,Data!$A$271:$AI$290,8,FALSE))</f>
      </c>
      <c r="F34" s="157">
        <f>IF($D$4="","",VLOOKUP($D$4,Data!$A$271:$AI$290,6,FALSE))</f>
      </c>
      <c r="G34" s="157">
        <f>IF($F34="","",VLOOKUP($F34,Data!$A$71:$K$146,2,FALSE))</f>
      </c>
      <c r="H34" s="157">
        <f>IF($F34="","",VLOOKUP($F34,Data!$A$71:$K$146,7,FALSE))</f>
      </c>
      <c r="I34" s="184">
        <f>IF($F34="","",VLOOKUP($F34,Data!$A$71:$K$146,11,FALSE))</f>
      </c>
      <c r="K34" s="21"/>
      <c r="L34" s="21"/>
      <c r="M34" s="21"/>
    </row>
    <row r="35" spans="1:13" ht="15" customHeight="1">
      <c r="A35" s="20" t="s">
        <v>150</v>
      </c>
      <c r="B35" s="182">
        <f>IF($D$4="","",VLOOKUP($D$4,Data!$A$296:$AI$315,10,FALSE))</f>
      </c>
      <c r="C35" s="157">
        <f>IF($D$4="","",VLOOKUP($D$4,Data!$A$296:$AI$315,11,FALSE))</f>
      </c>
      <c r="D35" s="157">
        <f>IF($D$4="","",VLOOKUP($D$4,Data!$A$271:$AI$290,10,FALSE))</f>
      </c>
      <c r="E35" s="157">
        <f>IF($D$4="","",VLOOKUP($D$4,Data!$A$271:$AI$290,11,FALSE))</f>
      </c>
      <c r="F35" s="157">
        <f>IF($D$4="","",VLOOKUP($D$4,Data!$A$271:$AI$290,9,FALSE))</f>
      </c>
      <c r="G35" s="157">
        <f>IF($F35="","",VLOOKUP($F35,Data!$A$71:$K$146,2,FALSE))</f>
      </c>
      <c r="H35" s="157">
        <f>IF($F35="","",VLOOKUP($F35,Data!$A$71:$K$146,7,FALSE))</f>
      </c>
      <c r="I35" s="184">
        <f>IF($F35="","",VLOOKUP($F35,Data!$A$71:$K$146,11,FALSE))</f>
      </c>
      <c r="K35" s="21"/>
      <c r="L35" s="21"/>
      <c r="M35" s="21"/>
    </row>
    <row r="36" spans="1:13" ht="15" customHeight="1">
      <c r="A36" s="20" t="s">
        <v>151</v>
      </c>
      <c r="B36" s="182">
        <f>IF($D$4="","",VLOOKUP($D$4,Data!$A$296:$AI$315,13,FALSE))</f>
      </c>
      <c r="C36" s="157">
        <f>IF($D$4="","",VLOOKUP($D$4,Data!$A$296:$AI$315,14,FALSE))</f>
      </c>
      <c r="D36" s="157">
        <f>IF($D$4="","",VLOOKUP($D$4,Data!$A$271:$AI$290,13,FALSE))</f>
      </c>
      <c r="E36" s="157">
        <f>IF($D$4="","",VLOOKUP($D$4,Data!$A$271:$AI$290,14,FALSE))</f>
      </c>
      <c r="F36" s="157">
        <f>IF($D$4="","",VLOOKUP($D$4,Data!$A$271:$AI$290,12,FALSE))</f>
      </c>
      <c r="G36" s="157">
        <f>IF($F36="","",VLOOKUP($F36,Data!$A$71:$K$146,2,FALSE))</f>
      </c>
      <c r="H36" s="157">
        <f>IF($F36="","",VLOOKUP($F36,Data!$A$71:$K$146,7,FALSE))</f>
      </c>
      <c r="I36" s="184">
        <f>IF($F36="","",VLOOKUP($F36,Data!$A$71:$K$146,11,FALSE))</f>
      </c>
      <c r="K36" s="21"/>
      <c r="L36" s="21"/>
      <c r="M36" s="21"/>
    </row>
    <row r="37" spans="1:13" ht="15" customHeight="1">
      <c r="A37" s="20" t="s">
        <v>78</v>
      </c>
      <c r="B37" s="182">
        <f>IF($D$4="","",VLOOKUP($D$4,Data!$A$296:$AI$315,16,FALSE))</f>
      </c>
      <c r="C37" s="157">
        <f>IF($D$4="","",VLOOKUP($D$4,Data!$A$296:$AI$315,17,FALSE))</f>
      </c>
      <c r="D37" s="157">
        <f>IF($D$4="","",VLOOKUP($D$4,Data!$A$271:$AI$290,16,FALSE))</f>
      </c>
      <c r="E37" s="157">
        <f>IF($D$4="","",VLOOKUP($D$4,Data!$A$271:$AI$290,17,FALSE))</f>
      </c>
      <c r="F37" s="157">
        <f>IF($D$4="","",VLOOKUP($D$4,Data!$A$271:$AI$290,15,FALSE))</f>
      </c>
      <c r="G37" s="157">
        <f>IF($F37="","",VLOOKUP($F37,Data!$A$71:$K$146,2,FALSE))</f>
      </c>
      <c r="H37" s="157">
        <f>IF($F37="","",VLOOKUP($F37,Data!$A$71:$K$146,7,FALSE))</f>
      </c>
      <c r="I37" s="184">
        <f>IF($F37="","",VLOOKUP($F37,Data!$A$71:$K$146,11,FALSE))</f>
      </c>
      <c r="K37" s="21"/>
      <c r="L37" s="21"/>
      <c r="M37" s="21"/>
    </row>
    <row r="38" spans="1:13" ht="15" customHeight="1">
      <c r="A38" s="20" t="s">
        <v>79</v>
      </c>
      <c r="B38" s="182">
        <f>IF($D$4="","",VLOOKUP($D$4,Data!$A$296:$AI$315,19,FALSE))</f>
      </c>
      <c r="C38" s="157">
        <f>IF($D$4="","",VLOOKUP($D$4,Data!$A$296:$AI$315,20,FALSE))</f>
      </c>
      <c r="D38" s="157">
        <f>IF($D$4="","",VLOOKUP($D$4,Data!$A$271:$AI$290,19,FALSE))</f>
      </c>
      <c r="E38" s="157">
        <f>IF($D$4="","",VLOOKUP($D$4,Data!$A$271:$AI$290,20,FALSE))</f>
      </c>
      <c r="F38" s="157">
        <f>IF($D$4="","",VLOOKUP($D$4,Data!$A$271:$AI$290,18,FALSE))</f>
      </c>
      <c r="G38" s="157">
        <f>IF($F38="","",VLOOKUP($F38,Data!$A$71:$K$146,2,FALSE))</f>
      </c>
      <c r="H38" s="157">
        <f>IF($F38="","",VLOOKUP($F38,Data!$A$71:$K$146,7,FALSE))</f>
      </c>
      <c r="I38" s="184">
        <f>IF($F38="","",VLOOKUP($F38,Data!$A$71:$K$146,11,FALSE))</f>
      </c>
      <c r="K38" s="21"/>
      <c r="L38" s="21"/>
      <c r="M38" s="21"/>
    </row>
    <row r="39" spans="1:13" ht="15" customHeight="1">
      <c r="A39" s="20" t="s">
        <v>80</v>
      </c>
      <c r="B39" s="182">
        <f>IF($D$4="","",VLOOKUP($D$4,Data!$A$296:$AI$315,22,FALSE))</f>
      </c>
      <c r="C39" s="157">
        <f>IF($D$4="","",VLOOKUP($D$4,Data!$A$296:$AI$315,23,FALSE))</f>
      </c>
      <c r="D39" s="157">
        <f>IF($D$4="","",VLOOKUP($D$4,Data!$A$271:$AI$290,22,FALSE))</f>
      </c>
      <c r="E39" s="157">
        <f>IF($D$4="","",VLOOKUP($D$4,Data!$A$271:$AI$290,23,FALSE))</f>
      </c>
      <c r="F39" s="157">
        <f>IF($D$4="","",VLOOKUP($D$4,Data!$A$271:$AI$290,21,FALSE))</f>
      </c>
      <c r="G39" s="157">
        <f>IF($F39="","",VLOOKUP($F39,Data!$A$71:$K$146,2,FALSE))</f>
      </c>
      <c r="H39" s="157">
        <f>IF($F39="","",VLOOKUP($F39,Data!$A$71:$K$146,7,FALSE))</f>
      </c>
      <c r="I39" s="184">
        <f>IF($F39="","",VLOOKUP($F39,Data!$A$71:$K$146,11,FALSE))</f>
      </c>
      <c r="K39" s="21"/>
      <c r="L39" s="21"/>
      <c r="M39" s="21"/>
    </row>
    <row r="40" spans="1:13" ht="15" customHeight="1">
      <c r="A40" s="20" t="s">
        <v>81</v>
      </c>
      <c r="B40" s="182">
        <f>IF($D$4="","",VLOOKUP($D$4,Data!$A$296:$AI$315,25,FALSE))</f>
      </c>
      <c r="C40" s="157">
        <f>IF($D$4="","",VLOOKUP($D$4,Data!$A$296:$AI$315,26,FALSE))</f>
      </c>
      <c r="D40" s="157">
        <f>IF($D$4="","",VLOOKUP($D$4,Data!$A$271:$AI$290,25,FALSE))</f>
      </c>
      <c r="E40" s="157">
        <f>IF($D$4="","",VLOOKUP($D$4,Data!$A$271:$AI$290,26,FALSE))</f>
      </c>
      <c r="F40" s="157">
        <f>IF($D$4="","",VLOOKUP($D$4,Data!$A$271:$AI$290,24,FALSE))</f>
      </c>
      <c r="G40" s="157">
        <f>IF($F40="","",VLOOKUP($F40,Data!$A$71:$K$146,2,FALSE))</f>
      </c>
      <c r="H40" s="157">
        <f>IF($F40="","",VLOOKUP($F40,Data!$A$71:$K$146,7,FALSE))</f>
      </c>
      <c r="I40" s="184">
        <f>IF($F40="","",VLOOKUP($F40,Data!$A$71:$K$146,11,FALSE))</f>
      </c>
      <c r="K40" s="21"/>
      <c r="L40" s="21"/>
      <c r="M40" s="21"/>
    </row>
    <row r="41" spans="1:13" ht="15" customHeight="1">
      <c r="A41" s="20" t="s">
        <v>82</v>
      </c>
      <c r="B41" s="182">
        <f>IF($D$4="","",VLOOKUP($D$4,Data!$A$296:$AI$315,28,FALSE))</f>
      </c>
      <c r="C41" s="157">
        <f>IF($D$4="","",VLOOKUP($D$4,Data!$A$296:$AI$315,29,FALSE))</f>
      </c>
      <c r="D41" s="157">
        <f>IF($D$4="","",VLOOKUP($D$4,Data!$A$271:$AI$290,28,FALSE))</f>
      </c>
      <c r="E41" s="157">
        <f>IF($D$4="","",VLOOKUP($D$4,Data!$A$271:$AI$290,29,FALSE))</f>
      </c>
      <c r="F41" s="157">
        <f>IF($D$4="","",VLOOKUP($D$4,Data!$A$271:$AI$290,27,FALSE))</f>
      </c>
      <c r="G41" s="157">
        <f>IF($F41="","",VLOOKUP($F41,Data!$A$71:$K$146,2,FALSE))</f>
      </c>
      <c r="H41" s="157">
        <f>IF($F41="","",VLOOKUP($F41,Data!$A$71:$K$146,7,FALSE))</f>
      </c>
      <c r="I41" s="184">
        <f>IF($F41="","",VLOOKUP($F41,Data!$A$71:$K$146,11,FALSE))</f>
      </c>
      <c r="K41" s="21"/>
      <c r="L41" s="21"/>
      <c r="M41" s="21"/>
    </row>
    <row r="42" spans="1:13" ht="15" customHeight="1">
      <c r="A42" s="20" t="s">
        <v>83</v>
      </c>
      <c r="B42" s="182">
        <f>IF($D$4="","",VLOOKUP($D$4,Data!$A$296:$AI$315,31,FALSE))</f>
      </c>
      <c r="C42" s="157">
        <f>IF($D$4="","",VLOOKUP($D$4,Data!$A$296:$AI$315,32,FALSE))</f>
      </c>
      <c r="D42" s="157">
        <f>IF($D$4="","",VLOOKUP($D$4,Data!$A$271:$AI$290,31,FALSE))</f>
      </c>
      <c r="E42" s="157">
        <f>IF($D$4="","",VLOOKUP($D$4,Data!$A$271:$AI$290,32,FALSE))</f>
      </c>
      <c r="F42" s="157">
        <f>IF($D$4="","",VLOOKUP($D$4,Data!$A$271:$AI$290,30,FALSE))</f>
      </c>
      <c r="G42" s="157">
        <f>IF($F42="","",VLOOKUP($F42,Data!$A$71:$K$146,2,FALSE))</f>
      </c>
      <c r="H42" s="157">
        <f>IF($F42="","",VLOOKUP($F42,Data!$A$71:$K$146,7,FALSE))</f>
      </c>
      <c r="I42" s="184">
        <f>IF($F42="","",VLOOKUP($F42,Data!$A$71:$K$146,11,FALSE))</f>
      </c>
      <c r="K42" s="21"/>
      <c r="L42" s="21"/>
      <c r="M42" s="21"/>
    </row>
    <row r="43" spans="1:13" ht="15" customHeight="1">
      <c r="A43" s="20" t="s">
        <v>1173</v>
      </c>
      <c r="B43" s="334">
        <f>IF($D$4="","",VLOOKUP($D$4,Data!$A$296:$AI$315,34,FALSE))</f>
      </c>
      <c r="C43" s="335">
        <f>IF($D$4="","",VLOOKUP($D$4,Data!$A$296:$AI$315,35,FALSE))</f>
      </c>
      <c r="D43" s="335">
        <f>IF($D$4="","",VLOOKUP($D$4,Data!$A$271:$AI$290,34,FALSE))</f>
      </c>
      <c r="E43" s="335">
        <f>IF($D$4="","",VLOOKUP($D$4,Data!$A$271:$AI$290,35,FALSE))</f>
      </c>
      <c r="F43" s="335">
        <f>IF($D$4="","",VLOOKUP($D$4,Data!$A$271:$AI$290,33,FALSE))</f>
      </c>
      <c r="G43" s="335">
        <f>IF($F43="","",VLOOKUP($F43,Data!$A$71:$K$146,2,FALSE))</f>
      </c>
      <c r="H43" s="335">
        <f>IF($F43="","",VLOOKUP($F43,Data!$A$71:$K$146,7,FALSE))</f>
      </c>
      <c r="I43" s="336">
        <f>IF($F43="","",VLOOKUP($F43,Data!$A$71:$K$146,11,FALSE))</f>
      </c>
      <c r="K43" s="21"/>
      <c r="L43" s="21"/>
      <c r="M43" s="21"/>
    </row>
    <row r="44" spans="1:13" ht="15" customHeight="1">
      <c r="A44" s="174" t="s">
        <v>874</v>
      </c>
      <c r="B44" s="188"/>
      <c r="C44" s="25"/>
      <c r="D44" s="25"/>
      <c r="E44" s="25"/>
      <c r="F44" s="25"/>
      <c r="G44" s="25"/>
      <c r="H44" s="25"/>
      <c r="I44" s="337"/>
      <c r="K44" s="21"/>
      <c r="L44" s="21"/>
      <c r="M44" s="21"/>
    </row>
    <row r="45" spans="1:13" ht="15" customHeight="1">
      <c r="A45" s="174"/>
      <c r="B45" s="188"/>
      <c r="C45" s="157">
        <f>IF($B45="","",VLOOKUP($B45,Data!$B$320:$D$364,2,FALSE))</f>
      </c>
      <c r="D45" s="157">
        <f>IF($B45="","",VLOOKUP($B45,Data!$B$320:$D$364,3,FALSE))</f>
      </c>
      <c r="E45" s="25"/>
      <c r="F45" s="157">
        <f>IF($G45="","",VLOOKUP($G45,Data!$B$71:$K$146,3,FALSE))</f>
      </c>
      <c r="G45" s="25"/>
      <c r="H45" s="157">
        <f>IF($G45="","",VLOOKUP($G45,Data!$B$71:$K$146,6,FALSE))</f>
      </c>
      <c r="I45" s="184">
        <f>IF($G45="","",VLOOKUP($G45,Data!$B$71:$K$146,10,FALSE))</f>
      </c>
      <c r="K45" s="21"/>
      <c r="L45" s="21"/>
      <c r="M45" s="21"/>
    </row>
    <row r="46" spans="1:13" ht="15" customHeight="1">
      <c r="A46" s="174"/>
      <c r="B46" s="188"/>
      <c r="C46" s="157">
        <f>IF($B46="","",VLOOKUP($B46,Data!$B$320:$D$364,2,FALSE))</f>
      </c>
      <c r="D46" s="157">
        <f>IF($B46="","",VLOOKUP($B46,Data!$B$320:$D$364,3,FALSE))</f>
      </c>
      <c r="E46" s="25"/>
      <c r="F46" s="157">
        <f>IF($G46="","",VLOOKUP($G46,Data!$B$71:$K$146,3,FALSE))</f>
      </c>
      <c r="G46" s="25"/>
      <c r="H46" s="157">
        <f>IF($G46="","",VLOOKUP($G46,Data!$B$71:$K$146,6,FALSE))</f>
      </c>
      <c r="I46" s="184">
        <f>IF($G46="","",VLOOKUP($G46,Data!$B$71:$K$146,10,FALSE))</f>
      </c>
      <c r="K46" s="21"/>
      <c r="L46" s="21"/>
      <c r="M46" s="21"/>
    </row>
    <row r="47" spans="1:13" ht="12.75">
      <c r="A47" s="174"/>
      <c r="B47" s="188"/>
      <c r="C47" s="157">
        <f>IF($B47="","",VLOOKUP($B47,Data!$B$320:$D$364,2,FALSE))</f>
      </c>
      <c r="D47" s="157">
        <f>IF($B47="","",VLOOKUP($B47,Data!$B$320:$D$364,3,FALSE))</f>
      </c>
      <c r="E47" s="25"/>
      <c r="F47" s="157">
        <f>IF($G47="","",VLOOKUP($G47,Data!$B$71:$K$146,3,FALSE))</f>
      </c>
      <c r="G47" s="25"/>
      <c r="H47" s="157">
        <f>IF($G47="","",VLOOKUP($G47,Data!$B$71:$K$146,6,FALSE))</f>
      </c>
      <c r="I47" s="184">
        <f>IF($G47="","",VLOOKUP($G47,Data!$B$71:$K$146,10,FALSE))</f>
      </c>
      <c r="J47" s="22"/>
      <c r="K47" s="23"/>
      <c r="L47" s="21"/>
      <c r="M47" s="21"/>
    </row>
    <row r="48" spans="1:13" ht="12.75">
      <c r="A48" s="174"/>
      <c r="B48" s="188"/>
      <c r="C48" s="157">
        <f>IF($B48="","",VLOOKUP($B48,Data!$B$320:$D$364,2,FALSE))</f>
      </c>
      <c r="D48" s="157">
        <f>IF($B48="","",VLOOKUP($B48,Data!$B$320:$D$364,3,FALSE))</f>
      </c>
      <c r="E48" s="25"/>
      <c r="F48" s="157">
        <f>IF($G48="","",VLOOKUP($G48,Data!$B$71:$K$146,3,FALSE))</f>
      </c>
      <c r="G48" s="25"/>
      <c r="H48" s="157">
        <f>IF($G48="","",VLOOKUP($G48,Data!$B$71:$K$146,6,FALSE))</f>
      </c>
      <c r="I48" s="184">
        <f>IF($G48="","",VLOOKUP($G48,Data!$B$71:$K$146,10,FALSE))</f>
      </c>
      <c r="J48" s="22"/>
      <c r="K48" s="23"/>
      <c r="L48" s="21"/>
      <c r="M48" s="21"/>
    </row>
    <row r="49" spans="1:13" ht="12.75">
      <c r="A49" s="174"/>
      <c r="B49" s="188"/>
      <c r="C49" s="157">
        <f>IF($B49="","",VLOOKUP($B49,Data!$B$320:$D$364,2,FALSE))</f>
      </c>
      <c r="D49" s="157">
        <f>IF($B49="","",VLOOKUP($B49,Data!$B$320:$D$364,3,FALSE))</f>
      </c>
      <c r="E49" s="25"/>
      <c r="F49" s="157">
        <f>IF($G49="","",VLOOKUP($G49,Data!$B$71:$K$146,3,FALSE))</f>
      </c>
      <c r="G49" s="25"/>
      <c r="H49" s="157">
        <f>IF($G49="","",VLOOKUP($G49,Data!$B$71:$K$146,6,FALSE))</f>
      </c>
      <c r="I49" s="184">
        <f>IF($G49="","",VLOOKUP($G49,Data!$B$71:$K$146,10,FALSE))</f>
      </c>
      <c r="J49" s="22"/>
      <c r="K49" s="23"/>
      <c r="L49" s="21"/>
      <c r="M49" s="21"/>
    </row>
    <row r="50" spans="1:13" ht="12.75">
      <c r="A50" s="704"/>
      <c r="B50" s="188"/>
      <c r="C50" s="157">
        <f>IF($B50="","",VLOOKUP($B50,Data!$B$320:$D$364,2,FALSE))</f>
      </c>
      <c r="D50" s="157">
        <f>IF($B50="","",VLOOKUP($B50,Data!$B$320:$D$364,3,FALSE))</f>
      </c>
      <c r="E50" s="25"/>
      <c r="F50" s="157">
        <f>IF($G50="","",VLOOKUP($G50,Data!$B$71:$K$146,3,FALSE))</f>
      </c>
      <c r="G50" s="25"/>
      <c r="H50" s="157">
        <f>IF($G50="","",VLOOKUP($G50,Data!$B$71:$K$146,6,FALSE))</f>
      </c>
      <c r="I50" s="184">
        <f>IF($G50="","",VLOOKUP($G50,Data!$B$71:$K$146,10,FALSE))</f>
      </c>
      <c r="J50" s="23"/>
      <c r="K50" s="23"/>
      <c r="L50" s="21"/>
      <c r="M50" s="21"/>
    </row>
    <row r="51" spans="1:13" ht="12.75">
      <c r="A51" s="704"/>
      <c r="B51" s="188"/>
      <c r="C51" s="157">
        <f>IF($B51="","",VLOOKUP($B51,Data!$B$320:$D$364,2,FALSE))</f>
      </c>
      <c r="D51" s="157">
        <f>IF($B51="","",VLOOKUP($B51,Data!$B$320:$D$364,3,FALSE))</f>
      </c>
      <c r="E51" s="25"/>
      <c r="F51" s="157">
        <f>IF($G51="","",VLOOKUP($G51,Data!$B$71:$K$146,3,FALSE))</f>
      </c>
      <c r="G51" s="25"/>
      <c r="H51" s="157">
        <f>IF($G51="","",VLOOKUP($G51,Data!$B$71:$K$146,6,FALSE))</f>
      </c>
      <c r="I51" s="184">
        <f>IF($G51="","",VLOOKUP($G51,Data!$B$71:$K$146,10,FALSE))</f>
      </c>
      <c r="J51" s="23"/>
      <c r="K51" s="23"/>
      <c r="L51" s="21"/>
      <c r="M51" s="21"/>
    </row>
    <row r="52" spans="1:13" ht="12.75">
      <c r="A52" s="704"/>
      <c r="B52" s="188"/>
      <c r="C52" s="157">
        <f>IF($B52="","",VLOOKUP($B52,Data!$B$320:$D$364,2,FALSE))</f>
      </c>
      <c r="D52" s="157">
        <f>IF($B52="","",VLOOKUP($B52,Data!$B$320:$D$364,3,FALSE))</f>
      </c>
      <c r="E52" s="25"/>
      <c r="F52" s="157">
        <f>IF($G52="","",VLOOKUP($G52,Data!$B$71:$K$146,3,FALSE))</f>
      </c>
      <c r="G52" s="25"/>
      <c r="H52" s="157">
        <f>IF($G52="","",VLOOKUP($G52,Data!$B$71:$K$146,6,FALSE))</f>
      </c>
      <c r="I52" s="184">
        <f>IF($G52="","",VLOOKUP($G52,Data!$B$71:$K$146,10,FALSE))</f>
      </c>
      <c r="J52" s="23"/>
      <c r="K52" s="23"/>
      <c r="L52" s="21"/>
      <c r="M52" s="21"/>
    </row>
    <row r="53" spans="1:13" ht="12.75">
      <c r="A53" s="704"/>
      <c r="B53" s="188"/>
      <c r="C53" s="157">
        <f>IF($B53="","",VLOOKUP($B53,Data!$B$320:$D$364,2,FALSE))</f>
      </c>
      <c r="D53" s="157">
        <f>IF($B53="","",VLOOKUP($B53,Data!$B$320:$D$364,3,FALSE))</f>
      </c>
      <c r="E53" s="25"/>
      <c r="F53" s="157">
        <f>IF($G53="","",VLOOKUP($G53,Data!$B$71:$K$146,3,FALSE))</f>
      </c>
      <c r="G53" s="25"/>
      <c r="H53" s="157">
        <f>IF($G53="","",VLOOKUP($G53,Data!$B$71:$K$146,6,FALSE))</f>
      </c>
      <c r="I53" s="184">
        <f>IF($G53="","",VLOOKUP($G53,Data!$B$71:$K$146,10,FALSE))</f>
      </c>
      <c r="J53" s="23"/>
      <c r="K53" s="23"/>
      <c r="L53" s="21"/>
      <c r="M53" s="21"/>
    </row>
    <row r="54" spans="1:13" ht="12.75">
      <c r="A54" s="704"/>
      <c r="B54" s="188"/>
      <c r="C54" s="157">
        <f>IF($B54="","",VLOOKUP($B54,Data!$B$320:$D$364,2,FALSE))</f>
      </c>
      <c r="D54" s="157">
        <f>IF($B54="","",VLOOKUP($B54,Data!$B$320:$D$364,3,FALSE))</f>
      </c>
      <c r="E54" s="25"/>
      <c r="F54" s="157">
        <f>IF($G54="","",VLOOKUP($G54,Data!$B$71:$K$146,3,FALSE))</f>
      </c>
      <c r="G54" s="25"/>
      <c r="H54" s="157">
        <f>IF($G54="","",VLOOKUP($G54,Data!$B$71:$K$146,6,FALSE))</f>
      </c>
      <c r="I54" s="184">
        <f>IF($G54="","",VLOOKUP($G54,Data!$B$71:$K$146,10,FALSE))</f>
      </c>
      <c r="J54" s="23"/>
      <c r="K54" s="23"/>
      <c r="L54" s="21"/>
      <c r="M54" s="21"/>
    </row>
    <row r="55" spans="1:13" ht="13.5" thickBot="1">
      <c r="A55" s="704"/>
      <c r="B55" s="189"/>
      <c r="C55" s="190">
        <f>IF($B55="","",VLOOKUP($B55,Data!$B$320:$D$364,2,FALSE))</f>
      </c>
      <c r="D55" s="190">
        <f>IF($B55="","",VLOOKUP($B55,Data!$B$320:$D$364,3,FALSE))</f>
      </c>
      <c r="E55" s="191"/>
      <c r="F55" s="190">
        <f>IF($G55="","",VLOOKUP($G55,Data!$B$71:$K$146,3,FALSE))</f>
      </c>
      <c r="G55" s="191"/>
      <c r="H55" s="190">
        <f>IF($G55="","",VLOOKUP($G55,Data!$B$71:$K$146,6,FALSE))</f>
      </c>
      <c r="I55" s="192">
        <f>IF($G55="","",VLOOKUP($G55,Data!$B$71:$K$146,10,FALSE))</f>
      </c>
      <c r="J55" s="23"/>
      <c r="K55" s="23"/>
      <c r="L55" s="21"/>
      <c r="M55" s="21"/>
    </row>
    <row r="56" spans="1:13" ht="12.75">
      <c r="A56" s="458"/>
      <c r="B56" s="458"/>
      <c r="C56" s="458"/>
      <c r="D56" s="458"/>
      <c r="E56" s="458"/>
      <c r="F56" s="458"/>
      <c r="G56" s="458"/>
      <c r="H56" s="458"/>
      <c r="I56" s="458"/>
      <c r="J56" s="23"/>
      <c r="K56" s="23"/>
      <c r="L56" s="21"/>
      <c r="M56" s="21"/>
    </row>
    <row r="57" spans="1:13" ht="12.75">
      <c r="A57" s="458"/>
      <c r="B57" s="458"/>
      <c r="C57" s="458"/>
      <c r="D57" s="458"/>
      <c r="E57" s="458"/>
      <c r="F57" s="458"/>
      <c r="G57" s="458"/>
      <c r="H57" s="458"/>
      <c r="I57" s="458"/>
      <c r="J57" s="23"/>
      <c r="K57" s="23"/>
      <c r="L57" s="21"/>
      <c r="M57" s="21"/>
    </row>
    <row r="58" spans="1:13" ht="12.75">
      <c r="A58" s="1038" t="s">
        <v>839</v>
      </c>
      <c r="B58" s="1038"/>
      <c r="C58" s="1032"/>
      <c r="D58" s="1038"/>
      <c r="E58" s="1038"/>
      <c r="F58" s="1038"/>
      <c r="G58" s="1038"/>
      <c r="H58" s="1038"/>
      <c r="I58" s="1038"/>
      <c r="J58" s="23"/>
      <c r="K58" s="23"/>
      <c r="L58" s="21"/>
      <c r="M58" s="21"/>
    </row>
    <row r="59" spans="1:13" ht="13.5" thickBot="1">
      <c r="A59" s="61"/>
      <c r="B59" s="61"/>
      <c r="C59" s="61"/>
      <c r="D59" s="61"/>
      <c r="E59" s="61"/>
      <c r="F59" s="61"/>
      <c r="G59" s="61"/>
      <c r="H59" s="61"/>
      <c r="I59" s="61"/>
      <c r="J59" s="23"/>
      <c r="K59" s="23"/>
      <c r="L59" s="21"/>
      <c r="M59" s="21"/>
    </row>
    <row r="60" spans="1:13" ht="13.5" thickBot="1">
      <c r="A60" s="61"/>
      <c r="B60" s="170" t="s">
        <v>598</v>
      </c>
      <c r="C60" s="171" t="s">
        <v>599</v>
      </c>
      <c r="D60" s="171" t="s">
        <v>145</v>
      </c>
      <c r="E60" s="172" t="s">
        <v>963</v>
      </c>
      <c r="F60" s="171" t="s">
        <v>1181</v>
      </c>
      <c r="G60" s="170" t="s">
        <v>601</v>
      </c>
      <c r="H60" s="171" t="s">
        <v>840</v>
      </c>
      <c r="I60" s="172" t="s">
        <v>602</v>
      </c>
      <c r="J60" s="23"/>
      <c r="K60" s="23"/>
      <c r="L60" s="21"/>
      <c r="M60" s="21"/>
    </row>
    <row r="61" spans="1:13" ht="12.75">
      <c r="A61" s="174"/>
      <c r="B61" s="186"/>
      <c r="C61" s="173">
        <f>IF($B61="","",VLOOKUP($B61,Data!$B$320:$D$364,2,FALSE))</f>
      </c>
      <c r="D61" s="173">
        <f>IF($B61="","",VLOOKUP($B61,Data!$B$320:$D$364,3,FALSE))</f>
      </c>
      <c r="E61" s="187"/>
      <c r="F61" s="173">
        <f>IF($G61="","",VLOOKUP($G61,Data!$B$71:$K$146,3,FALSE))</f>
      </c>
      <c r="G61" s="187"/>
      <c r="H61" s="173">
        <f>IF($G61="","",VLOOKUP($G61,Data!$B$71:$K$146,6,FALSE))</f>
      </c>
      <c r="I61" s="183">
        <f>IF($G61="","",VLOOKUP($G61,Data!$B$71:$K$146,10,FALSE))</f>
      </c>
      <c r="J61" s="23"/>
      <c r="K61" s="23"/>
      <c r="L61" s="21"/>
      <c r="M61" s="21"/>
    </row>
    <row r="62" spans="1:13" ht="12.75">
      <c r="A62" s="174"/>
      <c r="B62" s="188"/>
      <c r="C62" s="157">
        <f>IF($B62="","",VLOOKUP($B62,Data!$B$320:$D$364,2,FALSE))</f>
      </c>
      <c r="D62" s="157">
        <f>IF($B62="","",VLOOKUP($B62,Data!$B$320:$D$364,3,FALSE))</f>
      </c>
      <c r="E62" s="25"/>
      <c r="F62" s="157">
        <f>IF($G62="","",VLOOKUP($G62,Data!$B$71:$K$146,3,FALSE))</f>
      </c>
      <c r="G62" s="25"/>
      <c r="H62" s="157">
        <f>IF($G62="","",VLOOKUP($G62,Data!$B$71:$K$146,6,FALSE))</f>
      </c>
      <c r="I62" s="184">
        <f>IF($G62="","",VLOOKUP($G62,Data!$B$71:$K$146,10,FALSE))</f>
      </c>
      <c r="J62" s="23"/>
      <c r="K62" s="23"/>
      <c r="L62" s="21"/>
      <c r="M62" s="21"/>
    </row>
    <row r="63" spans="1:13" ht="12.75">
      <c r="A63" s="174"/>
      <c r="B63" s="188"/>
      <c r="C63" s="157">
        <f>IF($B63="","",VLOOKUP($B63,Data!$B$320:$D$364,2,FALSE))</f>
      </c>
      <c r="D63" s="157">
        <f>IF($B63="","",VLOOKUP($B63,Data!$B$320:$D$364,3,FALSE))</f>
      </c>
      <c r="E63" s="25"/>
      <c r="F63" s="157">
        <f>IF($G63="","",VLOOKUP($G63,Data!$B$71:$K$146,3,FALSE))</f>
      </c>
      <c r="G63" s="25"/>
      <c r="H63" s="157">
        <f>IF($G63="","",VLOOKUP($G63,Data!$B$71:$K$146,6,FALSE))</f>
      </c>
      <c r="I63" s="184">
        <f>IF($G63="","",VLOOKUP($G63,Data!$B$71:$K$146,10,FALSE))</f>
      </c>
      <c r="J63" s="23"/>
      <c r="K63" s="23"/>
      <c r="L63" s="21"/>
      <c r="M63" s="21"/>
    </row>
    <row r="64" spans="1:13" ht="12.75">
      <c r="A64" s="174"/>
      <c r="B64" s="188"/>
      <c r="C64" s="157">
        <f>IF($B64="","",VLOOKUP($B64,Data!$B$320:$D$364,2,FALSE))</f>
      </c>
      <c r="D64" s="157">
        <f>IF($B64="","",VLOOKUP($B64,Data!$B$320:$D$364,3,FALSE))</f>
      </c>
      <c r="E64" s="25"/>
      <c r="F64" s="157">
        <f>IF($G64="","",VLOOKUP($G64,Data!$B$71:$K$146,3,FALSE))</f>
      </c>
      <c r="G64" s="25"/>
      <c r="H64" s="157">
        <f>IF($G64="","",VLOOKUP($G64,Data!$B$71:$K$146,6,FALSE))</f>
      </c>
      <c r="I64" s="184">
        <f>IF($G64="","",VLOOKUP($G64,Data!$B$71:$K$146,10,FALSE))</f>
      </c>
      <c r="J64" s="23"/>
      <c r="K64" s="23"/>
      <c r="L64" s="21"/>
      <c r="M64" s="21"/>
    </row>
    <row r="65" spans="1:13" ht="12.75">
      <c r="A65" s="174"/>
      <c r="B65" s="188"/>
      <c r="C65" s="157">
        <f>IF($B65="","",VLOOKUP($B65,Data!$B$320:$D$364,2,FALSE))</f>
      </c>
      <c r="D65" s="157">
        <f>IF($B65="","",VLOOKUP($B65,Data!$B$320:$D$364,3,FALSE))</f>
      </c>
      <c r="E65" s="25"/>
      <c r="F65" s="157">
        <f>IF($G65="","",VLOOKUP($G65,Data!$B$71:$K$146,3,FALSE))</f>
      </c>
      <c r="G65" s="25"/>
      <c r="H65" s="157">
        <f>IF($G65="","",VLOOKUP($G65,Data!$B$71:$K$146,6,FALSE))</f>
      </c>
      <c r="I65" s="184">
        <f>IF($G65="","",VLOOKUP($G65,Data!$B$71:$K$146,10,FALSE))</f>
      </c>
      <c r="J65" s="23"/>
      <c r="K65" s="23"/>
      <c r="L65" s="21"/>
      <c r="M65" s="21"/>
    </row>
    <row r="66" spans="1:13" ht="12.75">
      <c r="A66" s="174"/>
      <c r="B66" s="188"/>
      <c r="C66" s="157">
        <f>IF($B66="","",VLOOKUP($B66,Data!$B$320:$D$364,2,FALSE))</f>
      </c>
      <c r="D66" s="157">
        <f>IF($B66="","",VLOOKUP($B66,Data!$B$320:$D$364,3,FALSE))</f>
      </c>
      <c r="E66" s="25"/>
      <c r="F66" s="157">
        <f>IF($G66="","",VLOOKUP($G66,Data!$B$71:$K$146,3,FALSE))</f>
      </c>
      <c r="G66" s="25"/>
      <c r="H66" s="157">
        <f>IF($G66="","",VLOOKUP($G66,Data!$B$71:$K$146,6,FALSE))</f>
      </c>
      <c r="I66" s="184">
        <f>IF($G66="","",VLOOKUP($G66,Data!$B$71:$K$146,10,FALSE))</f>
      </c>
      <c r="J66" s="23"/>
      <c r="K66" s="23"/>
      <c r="L66" s="21"/>
      <c r="M66" s="21"/>
    </row>
    <row r="67" spans="1:13" ht="12.75">
      <c r="A67" s="174"/>
      <c r="B67" s="188"/>
      <c r="C67" s="157">
        <f>IF($B67="","",VLOOKUP($B67,Data!$B$320:$D$364,2,FALSE))</f>
      </c>
      <c r="D67" s="157">
        <f>IF($B67="","",VLOOKUP($B67,Data!$B$320:$D$364,3,FALSE))</f>
      </c>
      <c r="E67" s="25"/>
      <c r="F67" s="157">
        <f>IF($G67="","",VLOOKUP($G67,Data!$B$71:$K$146,3,FALSE))</f>
      </c>
      <c r="G67" s="25"/>
      <c r="H67" s="157">
        <f>IF($G67="","",VLOOKUP($G67,Data!$B$71:$K$146,6,FALSE))</f>
      </c>
      <c r="I67" s="184">
        <f>IF($G67="","",VLOOKUP($G67,Data!$B$71:$K$146,10,FALSE))</f>
      </c>
      <c r="J67" s="23"/>
      <c r="K67" s="23"/>
      <c r="L67" s="21"/>
      <c r="M67" s="21"/>
    </row>
    <row r="68" spans="1:13" ht="12.75">
      <c r="A68" s="174"/>
      <c r="B68" s="188"/>
      <c r="C68" s="157">
        <f>IF($B68="","",VLOOKUP($B68,Data!$B$320:$D$364,2,FALSE))</f>
      </c>
      <c r="D68" s="157">
        <f>IF($B68="","",VLOOKUP($B68,Data!$B$320:$D$364,3,FALSE))</f>
      </c>
      <c r="E68" s="25"/>
      <c r="F68" s="157">
        <f>IF($G68="","",VLOOKUP($G68,Data!$B$71:$K$146,3,FALSE))</f>
      </c>
      <c r="G68" s="25"/>
      <c r="H68" s="157">
        <f>IF($G68="","",VLOOKUP($G68,Data!$B$71:$K$146,6,FALSE))</f>
      </c>
      <c r="I68" s="184">
        <f>IF($G68="","",VLOOKUP($G68,Data!$B$71:$K$146,10,FALSE))</f>
      </c>
      <c r="J68" s="23"/>
      <c r="K68" s="23"/>
      <c r="L68" s="21"/>
      <c r="M68" s="21"/>
    </row>
    <row r="69" spans="1:13" ht="12.75">
      <c r="A69" s="704"/>
      <c r="B69" s="188"/>
      <c r="C69" s="157">
        <f>IF($B69="","",VLOOKUP($B69,Data!$B$320:$D$364,2,FALSE))</f>
      </c>
      <c r="D69" s="157">
        <f>IF($B69="","",VLOOKUP($B69,Data!$B$320:$D$364,3,FALSE))</f>
      </c>
      <c r="E69" s="25"/>
      <c r="F69" s="157">
        <f>IF($G69="","",VLOOKUP($G69,Data!$B$71:$K$146,3,FALSE))</f>
      </c>
      <c r="G69" s="25"/>
      <c r="H69" s="157">
        <f>IF($G69="","",VLOOKUP($G69,Data!$B$71:$K$146,6,FALSE))</f>
      </c>
      <c r="I69" s="184">
        <f>IF($G69="","",VLOOKUP($G69,Data!$B$71:$K$146,10,FALSE))</f>
      </c>
      <c r="J69" s="23"/>
      <c r="K69" s="23"/>
      <c r="L69" s="21"/>
      <c r="M69" s="21"/>
    </row>
    <row r="70" spans="1:13" ht="12.75">
      <c r="A70" s="174"/>
      <c r="B70" s="188"/>
      <c r="C70" s="157">
        <f>IF($B70="","",VLOOKUP($B70,Data!$B$320:$D$364,2,FALSE))</f>
      </c>
      <c r="D70" s="157">
        <f>IF($B70="","",VLOOKUP($B70,Data!$B$320:$D$364,3,FALSE))</f>
      </c>
      <c r="E70" s="25"/>
      <c r="F70" s="157">
        <f>IF($G70="","",VLOOKUP($G70,Data!$B$71:$K$146,3,FALSE))</f>
      </c>
      <c r="G70" s="25"/>
      <c r="H70" s="157">
        <f>IF($G70="","",VLOOKUP($G70,Data!$B$71:$K$146,6,FALSE))</f>
      </c>
      <c r="I70" s="184">
        <f>IF($G70="","",VLOOKUP($G70,Data!$B$71:$K$146,10,FALSE))</f>
      </c>
      <c r="J70" s="23"/>
      <c r="K70" s="23"/>
      <c r="L70" s="21"/>
      <c r="M70" s="21"/>
    </row>
    <row r="71" spans="1:9" ht="12.75">
      <c r="A71" s="174"/>
      <c r="B71" s="188"/>
      <c r="C71" s="157">
        <f>IF($B71="","",VLOOKUP($B71,Data!$B$320:$D$364,2,FALSE))</f>
      </c>
      <c r="D71" s="157">
        <f>IF($B71="","",VLOOKUP($B71,Data!$B$320:$D$364,3,FALSE))</f>
      </c>
      <c r="E71" s="25"/>
      <c r="F71" s="157">
        <f>IF($G71="","",VLOOKUP($G71,Data!$B$71:$K$146,3,FALSE))</f>
      </c>
      <c r="G71" s="25"/>
      <c r="H71" s="157">
        <f>IF($G71="","",VLOOKUP($G71,Data!$B$71:$K$146,6,FALSE))</f>
      </c>
      <c r="I71" s="184">
        <f>IF($G71="","",VLOOKUP($G71,Data!$B$71:$K$146,10,FALSE))</f>
      </c>
    </row>
    <row r="72" spans="1:9" ht="12.75">
      <c r="A72" s="174"/>
      <c r="B72" s="188"/>
      <c r="C72" s="157">
        <f>IF($B72="","",VLOOKUP($B72,Data!$B$320:$D$364,2,FALSE))</f>
      </c>
      <c r="D72" s="157">
        <f>IF($B72="","",VLOOKUP($B72,Data!$B$320:$D$364,3,FALSE))</f>
      </c>
      <c r="E72" s="25"/>
      <c r="F72" s="157">
        <f>IF($G72="","",VLOOKUP($G72,Data!$B$71:$K$146,3,FALSE))</f>
      </c>
      <c r="G72" s="25"/>
      <c r="H72" s="157">
        <f>IF($G72="","",VLOOKUP($G72,Data!$B$71:$K$146,6,FALSE))</f>
      </c>
      <c r="I72" s="184">
        <f>IF($G72="","",VLOOKUP($G72,Data!$B$71:$K$146,10,FALSE))</f>
      </c>
    </row>
    <row r="73" spans="1:9" ht="12.75">
      <c r="A73" s="16"/>
      <c r="B73" s="188"/>
      <c r="C73" s="157">
        <f>IF($B73="","",VLOOKUP($B73,Data!$B$320:$D$364,2,FALSE))</f>
      </c>
      <c r="D73" s="157">
        <f>IF($B73="","",VLOOKUP($B73,Data!$B$320:$D$364,3,FALSE))</f>
      </c>
      <c r="E73" s="25"/>
      <c r="F73" s="157">
        <f>IF($G73="","",VLOOKUP($G73,Data!$B$71:$K$146,3,FALSE))</f>
      </c>
      <c r="G73" s="25"/>
      <c r="H73" s="157">
        <f>IF($G73="","",VLOOKUP($G73,Data!$B$71:$K$146,6,FALSE))</f>
      </c>
      <c r="I73" s="184">
        <f>IF($G73="","",VLOOKUP($G73,Data!$B$71:$K$146,10,FALSE))</f>
      </c>
    </row>
    <row r="74" spans="1:9" ht="12.75">
      <c r="A74" s="16"/>
      <c r="B74" s="188"/>
      <c r="C74" s="157">
        <f>IF($B74="","",VLOOKUP($B74,Data!$B$320:$D$364,2,FALSE))</f>
      </c>
      <c r="D74" s="157">
        <f>IF($B74="","",VLOOKUP($B74,Data!$B$320:$D$364,3,FALSE))</f>
      </c>
      <c r="E74" s="25"/>
      <c r="F74" s="157">
        <f>IF($G74="","",VLOOKUP($G74,Data!$B$71:$K$146,3,FALSE))</f>
      </c>
      <c r="G74" s="25"/>
      <c r="H74" s="157">
        <f>IF($G74="","",VLOOKUP($G74,Data!$B$71:$K$146,6,FALSE))</f>
      </c>
      <c r="I74" s="184">
        <f>IF($G74="","",VLOOKUP($G74,Data!$B$71:$K$146,10,FALSE))</f>
      </c>
    </row>
    <row r="75" spans="1:9" ht="12.75">
      <c r="A75" s="16"/>
      <c r="B75" s="188"/>
      <c r="C75" s="157">
        <f>IF($B75="","",VLOOKUP($B75,Data!$B$320:$D$364,2,FALSE))</f>
      </c>
      <c r="D75" s="157">
        <f>IF($B75="","",VLOOKUP($B75,Data!$B$320:$D$364,3,FALSE))</f>
      </c>
      <c r="E75" s="25"/>
      <c r="F75" s="157">
        <f>IF($G75="","",VLOOKUP($G75,Data!$B$71:$K$146,3,FALSE))</f>
      </c>
      <c r="G75" s="25"/>
      <c r="H75" s="157">
        <f>IF($G75="","",VLOOKUP($G75,Data!$B$71:$K$146,6,FALSE))</f>
      </c>
      <c r="I75" s="184">
        <f>IF($G75="","",VLOOKUP($G75,Data!$B$71:$K$146,10,FALSE))</f>
      </c>
    </row>
    <row r="76" spans="1:9" ht="12.75">
      <c r="A76" s="16"/>
      <c r="B76" s="188"/>
      <c r="C76" s="157">
        <f>IF($B76="","",VLOOKUP($B76,Data!$B$320:$D$364,2,FALSE))</f>
      </c>
      <c r="D76" s="157">
        <f>IF($B76="","",VLOOKUP($B76,Data!$B$320:$D$364,3,FALSE))</f>
      </c>
      <c r="E76" s="25"/>
      <c r="F76" s="157">
        <f>IF($G76="","",VLOOKUP($G76,Data!$B$71:$K$146,3,FALSE))</f>
      </c>
      <c r="G76" s="25"/>
      <c r="H76" s="157">
        <f>IF($G76="","",VLOOKUP($G76,Data!$B$71:$K$146,6,FALSE))</f>
      </c>
      <c r="I76" s="184">
        <f>IF($G76="","",VLOOKUP($G76,Data!$B$71:$K$146,10,FALSE))</f>
      </c>
    </row>
    <row r="77" spans="1:9" ht="12.75">
      <c r="A77" s="16"/>
      <c r="B77" s="188"/>
      <c r="C77" s="157">
        <f>IF($B77="","",VLOOKUP($B77,Data!$B$320:$D$364,2,FALSE))</f>
      </c>
      <c r="D77" s="157">
        <f>IF($B77="","",VLOOKUP($B77,Data!$B$320:$D$364,3,FALSE))</f>
      </c>
      <c r="E77" s="25"/>
      <c r="F77" s="157">
        <f>IF($G77="","",VLOOKUP($G77,Data!$B$71:$K$146,3,FALSE))</f>
      </c>
      <c r="G77" s="25"/>
      <c r="H77" s="157">
        <f>IF($G77="","",VLOOKUP($G77,Data!$B$71:$K$146,6,FALSE))</f>
      </c>
      <c r="I77" s="184">
        <f>IF($G77="","",VLOOKUP($G77,Data!$B$71:$K$146,10,FALSE))</f>
      </c>
    </row>
    <row r="78" spans="1:9" ht="12.75">
      <c r="A78" s="16"/>
      <c r="B78" s="188"/>
      <c r="C78" s="157">
        <f>IF($B78="","",VLOOKUP($B78,Data!$B$320:$D$364,2,FALSE))</f>
      </c>
      <c r="D78" s="157">
        <f>IF($B78="","",VLOOKUP($B78,Data!$B$320:$D$364,3,FALSE))</f>
      </c>
      <c r="E78" s="25"/>
      <c r="F78" s="157">
        <f>IF($G78="","",VLOOKUP($G78,Data!$B$71:$K$146,3,FALSE))</f>
      </c>
      <c r="G78" s="25"/>
      <c r="H78" s="157">
        <f>IF($G78="","",VLOOKUP($G78,Data!$B$71:$K$146,6,FALSE))</f>
      </c>
      <c r="I78" s="184">
        <f>IF($G78="","",VLOOKUP($G78,Data!$B$71:$K$146,10,FALSE))</f>
      </c>
    </row>
    <row r="79" spans="1:9" ht="12.75">
      <c r="A79" s="16"/>
      <c r="B79" s="188"/>
      <c r="C79" s="157">
        <f>IF($B79="","",VLOOKUP($B79,Data!$B$320:$D$364,2,FALSE))</f>
      </c>
      <c r="D79" s="157">
        <f>IF($B79="","",VLOOKUP($B79,Data!$B$320:$D$364,3,FALSE))</f>
      </c>
      <c r="E79" s="25"/>
      <c r="F79" s="157">
        <f>IF($G79="","",VLOOKUP($G79,Data!$B$71:$K$146,3,FALSE))</f>
      </c>
      <c r="G79" s="25"/>
      <c r="H79" s="157">
        <f>IF($G79="","",VLOOKUP($G79,Data!$B$71:$K$146,6,FALSE))</f>
      </c>
      <c r="I79" s="184">
        <f>IF($G79="","",VLOOKUP($G79,Data!$B$71:$K$146,10,FALSE))</f>
      </c>
    </row>
    <row r="80" spans="1:9" ht="12.75">
      <c r="A80" s="16"/>
      <c r="B80" s="188"/>
      <c r="C80" s="157">
        <f>IF($B80="","",VLOOKUP($B80,Data!$B$320:$D$364,2,FALSE))</f>
      </c>
      <c r="D80" s="157">
        <f>IF($B80="","",VLOOKUP($B80,Data!$B$320:$D$364,3,FALSE))</f>
      </c>
      <c r="E80" s="25"/>
      <c r="F80" s="157">
        <f>IF($G80="","",VLOOKUP($G80,Data!$B$71:$K$146,3,FALSE))</f>
      </c>
      <c r="G80" s="25"/>
      <c r="H80" s="157">
        <f>IF($G80="","",VLOOKUP($G80,Data!$B$71:$K$146,6,FALSE))</f>
      </c>
      <c r="I80" s="184">
        <f>IF($G80="","",VLOOKUP($G80,Data!$B$71:$K$146,10,FALSE))</f>
      </c>
    </row>
    <row r="81" spans="1:9" ht="12.75">
      <c r="A81" s="16"/>
      <c r="B81" s="188"/>
      <c r="C81" s="157">
        <f>IF($B81="","",VLOOKUP($B81,Data!$B$320:$D$364,2,FALSE))</f>
      </c>
      <c r="D81" s="157">
        <f>IF($B81="","",VLOOKUP($B81,Data!$B$320:$D$364,3,FALSE))</f>
      </c>
      <c r="E81" s="25"/>
      <c r="F81" s="157">
        <f>IF($G81="","",VLOOKUP($G81,Data!$B$71:$K$146,3,FALSE))</f>
      </c>
      <c r="G81" s="25"/>
      <c r="H81" s="157">
        <f>IF($G81="","",VLOOKUP($G81,Data!$B$71:$K$146,6,FALSE))</f>
      </c>
      <c r="I81" s="184">
        <f>IF($G81="","",VLOOKUP($G81,Data!$B$71:$K$146,10,FALSE))</f>
      </c>
    </row>
    <row r="82" spans="1:9" ht="13.5" thickBot="1">
      <c r="A82" s="16"/>
      <c r="B82" s="189"/>
      <c r="C82" s="190">
        <f>IF($B82="","",VLOOKUP($B82,Data!$B$320:$D$364,2,FALSE))</f>
      </c>
      <c r="D82" s="190">
        <f>IF($B82="","",VLOOKUP($B82,Data!$B$320:$D$364,3,FALSE))</f>
      </c>
      <c r="E82" s="191"/>
      <c r="F82" s="190">
        <f>IF($G82="","",VLOOKUP($G82,Data!$B$71:$K$146,3,FALSE))</f>
      </c>
      <c r="G82" s="191"/>
      <c r="H82" s="190">
        <f>IF($G82="","",VLOOKUP($G82,Data!$B$71:$K$146,6,FALSE))</f>
      </c>
      <c r="I82" s="192">
        <f>IF($G82="","",VLOOKUP($G82,Data!$B$71:$K$146,10,FALSE))</f>
      </c>
    </row>
    <row r="83" spans="1:9" ht="12.75">
      <c r="A83" s="22"/>
      <c r="B83" s="22"/>
      <c r="C83" s="22"/>
      <c r="D83" s="22"/>
      <c r="E83" s="22"/>
      <c r="F83" s="22"/>
      <c r="G83" s="22"/>
      <c r="H83" s="22"/>
      <c r="I83" s="22"/>
    </row>
    <row r="84" spans="1:11" ht="12.75">
      <c r="A84" s="478" t="s">
        <v>98</v>
      </c>
      <c r="B84" s="540"/>
      <c r="C84" s="541"/>
      <c r="D84" s="541"/>
      <c r="E84" s="541"/>
      <c r="F84" s="541"/>
      <c r="G84" s="541"/>
      <c r="H84" s="541"/>
      <c r="I84" s="541"/>
      <c r="J84" s="54"/>
      <c r="K84" s="54"/>
    </row>
    <row r="85" spans="1:11" ht="12.75">
      <c r="A85" s="542"/>
      <c r="B85" s="542"/>
      <c r="C85" s="542"/>
      <c r="D85" s="542"/>
      <c r="E85" s="542"/>
      <c r="F85" s="542"/>
      <c r="G85" s="542"/>
      <c r="H85" s="542"/>
      <c r="I85" s="542"/>
      <c r="J85" s="54"/>
      <c r="K85" s="54"/>
    </row>
    <row r="86" spans="1:11" ht="12.75">
      <c r="A86" s="541"/>
      <c r="B86" s="541"/>
      <c r="C86" s="541"/>
      <c r="D86" s="541"/>
      <c r="E86" s="541"/>
      <c r="F86" s="541"/>
      <c r="G86" s="541"/>
      <c r="H86" s="541"/>
      <c r="I86" s="541"/>
      <c r="J86" s="54"/>
      <c r="K86" s="54"/>
    </row>
    <row r="87" spans="1:11" ht="12.75">
      <c r="A87" s="468"/>
      <c r="B87" s="468"/>
      <c r="C87" s="468"/>
      <c r="D87" s="468"/>
      <c r="E87" s="468"/>
      <c r="F87" s="468"/>
      <c r="G87" s="468"/>
      <c r="H87" s="468"/>
      <c r="I87" s="468"/>
      <c r="J87" s="3"/>
      <c r="K87" s="3"/>
    </row>
    <row r="88" spans="1:11" ht="12.75">
      <c r="A88" s="458"/>
      <c r="B88" s="458"/>
      <c r="C88" s="458"/>
      <c r="D88" s="468"/>
      <c r="E88" s="468"/>
      <c r="F88" s="458"/>
      <c r="G88" s="533" t="s">
        <v>967</v>
      </c>
      <c r="H88" s="534">
        <f>IF(Input!E14="","",Input!E14)</f>
      </c>
      <c r="I88" s="536"/>
      <c r="J88" s="3"/>
      <c r="K88" s="56"/>
    </row>
    <row r="89" spans="1:9" ht="12.75">
      <c r="A89" s="468"/>
      <c r="B89" s="468"/>
      <c r="C89" s="458"/>
      <c r="D89" s="458"/>
      <c r="E89" s="458"/>
      <c r="F89" s="458"/>
      <c r="G89" s="458"/>
      <c r="H89" s="458"/>
      <c r="I89" s="458"/>
    </row>
  </sheetData>
  <sheetProtection sheet="1"/>
  <mergeCells count="7">
    <mergeCell ref="A1:G1"/>
    <mergeCell ref="A9:I9"/>
    <mergeCell ref="A10:I10"/>
    <mergeCell ref="A12:I12"/>
    <mergeCell ref="A58:I58"/>
    <mergeCell ref="D13:D16"/>
    <mergeCell ref="A11:I11"/>
  </mergeCells>
  <printOptions/>
  <pageMargins left="0.5" right="0.5" top="0.5" bottom="0.5" header="0" footer="0"/>
  <pageSetup fitToHeight="1" fitToWidth="1" horizontalDpi="600" verticalDpi="600" orientation="portrait" scale="6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R36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5.57421875" style="0" bestFit="1" customWidth="1"/>
    <col min="2" max="2" width="10.8515625" style="0" bestFit="1" customWidth="1"/>
    <col min="3" max="3" width="11.421875" style="0" customWidth="1"/>
    <col min="4" max="6" width="10.7109375" style="0" customWidth="1"/>
    <col min="7" max="7" width="11.28125" style="0" customWidth="1"/>
    <col min="8" max="10" width="10.7109375" style="0" customWidth="1"/>
    <col min="11" max="11" width="11.57421875" style="0" customWidth="1"/>
    <col min="12" max="15" width="10.7109375" style="0" customWidth="1"/>
    <col min="16" max="16" width="12.28125" style="0" customWidth="1"/>
    <col min="17" max="20" width="10.7109375" style="0" customWidth="1"/>
    <col min="21" max="21" width="25.57421875" style="0" customWidth="1"/>
    <col min="22" max="22" width="12.00390625" style="0" bestFit="1" customWidth="1"/>
    <col min="23" max="40" width="10.7109375" style="0" customWidth="1"/>
  </cols>
  <sheetData>
    <row r="1" spans="1:252" s="18" customFormat="1" ht="12.75">
      <c r="A1" s="1020" t="s">
        <v>835</v>
      </c>
      <c r="B1" s="1020"/>
      <c r="C1" s="991"/>
      <c r="E1" s="61"/>
      <c r="F1" s="61"/>
      <c r="G1" s="239"/>
      <c r="H1" s="61"/>
      <c r="I1" s="656"/>
      <c r="J1" s="656"/>
      <c r="K1" s="61"/>
      <c r="L1" s="61"/>
      <c r="M1" s="61"/>
      <c r="N1" s="61"/>
      <c r="O1" s="61"/>
      <c r="P1" s="61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21"/>
      <c r="AP1" s="21"/>
      <c r="AQ1" s="21"/>
      <c r="AR1" s="21"/>
      <c r="AS1" s="21"/>
      <c r="IR1" s="18" t="s">
        <v>712</v>
      </c>
    </row>
    <row r="2" spans="1:252" s="18" customFormat="1" ht="12.75">
      <c r="A2" s="61" t="s">
        <v>875</v>
      </c>
      <c r="B2" s="61"/>
      <c r="C2" s="61"/>
      <c r="D2" s="61"/>
      <c r="E2" s="61"/>
      <c r="F2" s="61"/>
      <c r="G2" s="102"/>
      <c r="H2" s="61"/>
      <c r="I2" s="705"/>
      <c r="J2" s="239"/>
      <c r="K2" s="65"/>
      <c r="L2" s="61"/>
      <c r="M2" s="61"/>
      <c r="N2" s="61"/>
      <c r="O2" s="61"/>
      <c r="P2" s="61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21"/>
      <c r="AP2" s="21"/>
      <c r="AQ2" s="21"/>
      <c r="AR2" s="21"/>
      <c r="AS2" s="21"/>
      <c r="IR2" s="18" t="s">
        <v>713</v>
      </c>
    </row>
    <row r="3" spans="1:252" s="18" customFormat="1" ht="12.75">
      <c r="A3" s="61"/>
      <c r="B3" s="74" t="s">
        <v>603</v>
      </c>
      <c r="C3" s="61"/>
      <c r="D3" s="61"/>
      <c r="E3" s="61"/>
      <c r="F3" s="61"/>
      <c r="G3" s="61"/>
      <c r="H3" s="61"/>
      <c r="I3" s="705"/>
      <c r="J3" s="705"/>
      <c r="K3" s="65"/>
      <c r="L3" s="61"/>
      <c r="M3" s="61"/>
      <c r="N3" s="61"/>
      <c r="O3" s="61"/>
      <c r="P3" s="61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1"/>
      <c r="AP3" s="21"/>
      <c r="AQ3" s="21"/>
      <c r="AR3" s="21"/>
      <c r="AS3" s="21"/>
      <c r="IR3" s="18" t="s">
        <v>714</v>
      </c>
    </row>
    <row r="4" spans="1:252" s="18" customFormat="1" ht="12.75">
      <c r="A4" s="706" t="s">
        <v>604</v>
      </c>
      <c r="B4" s="88"/>
      <c r="C4" s="459"/>
      <c r="D4" s="706" t="s">
        <v>734</v>
      </c>
      <c r="E4" s="89"/>
      <c r="F4" s="61"/>
      <c r="G4" s="61"/>
      <c r="H4" s="61"/>
      <c r="I4" s="705"/>
      <c r="J4" s="239"/>
      <c r="K4" s="65"/>
      <c r="L4" s="61"/>
      <c r="M4" s="61"/>
      <c r="N4" s="61"/>
      <c r="O4" s="61"/>
      <c r="P4" s="61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21"/>
      <c r="AP4" s="21"/>
      <c r="AQ4" s="21"/>
      <c r="AR4" s="21"/>
      <c r="AS4" s="21"/>
      <c r="IR4" s="18" t="s">
        <v>607</v>
      </c>
    </row>
    <row r="5" spans="1:45" s="18" customFormat="1" ht="12.75">
      <c r="A5" s="706" t="s">
        <v>605</v>
      </c>
      <c r="B5" s="90"/>
      <c r="C5" s="459"/>
      <c r="D5" s="706" t="s">
        <v>967</v>
      </c>
      <c r="E5" s="707">
        <f>IF(Input!$E$14="","",Input!$E$14)</f>
      </c>
      <c r="F5" s="708"/>
      <c r="G5" s="709"/>
      <c r="H5" s="61"/>
      <c r="I5" s="705"/>
      <c r="J5" s="705"/>
      <c r="K5" s="65"/>
      <c r="L5" s="61"/>
      <c r="M5" s="61"/>
      <c r="N5" s="61"/>
      <c r="O5" s="61"/>
      <c r="P5" s="61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21"/>
      <c r="AP5" s="21"/>
      <c r="AQ5" s="21"/>
      <c r="AR5" s="21"/>
      <c r="AS5" s="21"/>
    </row>
    <row r="6" spans="1:45" s="18" customFormat="1" ht="12.75">
      <c r="A6" s="706" t="s">
        <v>606</v>
      </c>
      <c r="B6" s="91"/>
      <c r="C6" s="459"/>
      <c r="D6" s="706" t="s">
        <v>735</v>
      </c>
      <c r="E6" s="92"/>
      <c r="F6" s="710">
        <f>IF(Input!$B$6="","",IF(Input!$B$6="E","Degree F",IF(Input!$B$6="M","Degree C")))</f>
      </c>
      <c r="G6" s="61"/>
      <c r="H6" s="65"/>
      <c r="I6" s="65"/>
      <c r="J6" s="239"/>
      <c r="K6" s="65"/>
      <c r="L6" s="61"/>
      <c r="M6" s="61"/>
      <c r="N6" s="61"/>
      <c r="O6" s="61"/>
      <c r="P6" s="61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21"/>
      <c r="AP6" s="21"/>
      <c r="AQ6" s="21"/>
      <c r="AR6" s="21"/>
      <c r="AS6" s="21"/>
    </row>
    <row r="7" spans="1:45" s="18" customFormat="1" ht="12.75">
      <c r="A7" s="706" t="s">
        <v>608</v>
      </c>
      <c r="B7" s="781"/>
      <c r="C7" s="711">
        <f>IF(Input!$B$6="","",IF(Input!$B$6="E","psi",IF(Input!$B$6="M","kPa")))</f>
      </c>
      <c r="D7" s="656"/>
      <c r="E7" s="656"/>
      <c r="F7" s="656"/>
      <c r="G7" s="712" t="s">
        <v>880</v>
      </c>
      <c r="H7" s="25"/>
      <c r="I7" s="656"/>
      <c r="J7" s="656"/>
      <c r="K7" s="656"/>
      <c r="L7" s="61"/>
      <c r="M7" s="61"/>
      <c r="N7" s="61"/>
      <c r="O7" s="61"/>
      <c r="P7" s="61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21"/>
      <c r="AP7" s="21"/>
      <c r="AQ7" s="21"/>
      <c r="AR7" s="21"/>
      <c r="AS7" s="21"/>
    </row>
    <row r="8" spans="1:45" s="18" customFormat="1" ht="12.75">
      <c r="A8" s="706" t="s">
        <v>609</v>
      </c>
      <c r="B8" s="781"/>
      <c r="C8" s="711">
        <f>IF(Input!$B$6="","",IF(Input!$B$6="E","psi",IF(Input!$B$6="M","kPa")))</f>
      </c>
      <c r="D8" s="61"/>
      <c r="E8" s="61"/>
      <c r="F8" s="61"/>
      <c r="G8" s="656"/>
      <c r="H8" s="656" t="s">
        <v>888</v>
      </c>
      <c r="I8" s="656" t="s">
        <v>889</v>
      </c>
      <c r="J8" s="656"/>
      <c r="K8" s="656"/>
      <c r="L8" s="61"/>
      <c r="M8" s="61"/>
      <c r="N8" s="61"/>
      <c r="O8" s="61"/>
      <c r="P8" s="61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21"/>
      <c r="AP8" s="21"/>
      <c r="AQ8" s="21"/>
      <c r="AR8" s="21"/>
      <c r="AS8" s="21"/>
    </row>
    <row r="9" spans="1:45" s="18" customFormat="1" ht="12.75">
      <c r="A9" s="706" t="s">
        <v>610</v>
      </c>
      <c r="B9" s="105"/>
      <c r="C9" s="710">
        <f>IF(Input!$B$6="","",IF(Input!$B$6="E","Degree F",IF(Input!$B$6="M","Degree C")))</f>
      </c>
      <c r="D9" s="61"/>
      <c r="E9" s="61"/>
      <c r="F9" s="61"/>
      <c r="G9" s="712" t="str">
        <f>IF($H$7="Heat/Steam","Heat On","Started")</f>
        <v>Started</v>
      </c>
      <c r="H9" s="134"/>
      <c r="I9" s="271"/>
      <c r="J9" s="705"/>
      <c r="K9" s="65"/>
      <c r="L9" s="61"/>
      <c r="M9" s="61"/>
      <c r="N9" s="61"/>
      <c r="O9" s="61"/>
      <c r="P9" s="61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21"/>
      <c r="AP9" s="21"/>
      <c r="AQ9" s="21"/>
      <c r="AR9" s="21"/>
      <c r="AS9" s="21"/>
    </row>
    <row r="10" spans="1:45" s="18" customFormat="1" ht="12.75">
      <c r="A10" s="656"/>
      <c r="B10" s="656"/>
      <c r="C10" s="656"/>
      <c r="D10" s="61"/>
      <c r="E10" s="61"/>
      <c r="F10" s="61"/>
      <c r="G10" s="712" t="str">
        <f>IF($H$7="Heat/Steam","Heat Off","Completed")</f>
        <v>Completed</v>
      </c>
      <c r="H10" s="134"/>
      <c r="I10" s="271"/>
      <c r="J10" s="239"/>
      <c r="K10" s="65"/>
      <c r="L10" s="61"/>
      <c r="M10" s="61"/>
      <c r="N10" s="61"/>
      <c r="O10" s="61"/>
      <c r="P10" s="61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21"/>
      <c r="AP10" s="21"/>
      <c r="AQ10" s="21"/>
      <c r="AR10" s="21"/>
      <c r="AS10" s="21"/>
    </row>
    <row r="11" spans="1:45" s="18" customFormat="1" ht="12.75">
      <c r="A11" s="61" t="s">
        <v>611</v>
      </c>
      <c r="B11" s="61"/>
      <c r="C11" s="61"/>
      <c r="D11" s="61"/>
      <c r="E11" s="61"/>
      <c r="F11" s="61"/>
      <c r="G11" s="712" t="s">
        <v>623</v>
      </c>
      <c r="H11" s="25"/>
      <c r="I11" s="710">
        <f>IF(Input!$B$6="","",IF(Input!$B$6="E","Degree F",IF(Input!$B$6="M","Degree C")))</f>
      </c>
      <c r="J11" s="551" t="s">
        <v>881</v>
      </c>
      <c r="K11" s="65"/>
      <c r="L11" s="61"/>
      <c r="M11" s="61"/>
      <c r="N11" s="61"/>
      <c r="O11" s="61"/>
      <c r="P11" s="61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21"/>
      <c r="AP11" s="21"/>
      <c r="AQ11" s="21"/>
      <c r="AR11" s="21"/>
      <c r="AS11" s="21"/>
    </row>
    <row r="12" spans="1:62" s="18" customFormat="1" ht="12.75">
      <c r="A12" s="61" t="s">
        <v>612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30"/>
      <c r="AP12" s="30"/>
      <c r="AQ12" s="35"/>
      <c r="AR12" s="30"/>
      <c r="AS12" s="30"/>
      <c r="AT12" s="30"/>
      <c r="AU12" s="30"/>
      <c r="AV12" s="30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</row>
    <row r="13" spans="1:16" s="18" customFormat="1" ht="7.5" customHeight="1">
      <c r="A13" s="713"/>
      <c r="B13" s="714"/>
      <c r="C13" s="714"/>
      <c r="D13" s="714"/>
      <c r="E13" s="714"/>
      <c r="F13" s="714"/>
      <c r="G13" s="714"/>
      <c r="H13" s="714"/>
      <c r="I13" s="714"/>
      <c r="J13" s="714"/>
      <c r="K13" s="714"/>
      <c r="L13" s="714"/>
      <c r="M13" s="714"/>
      <c r="N13" s="714"/>
      <c r="O13" s="714"/>
      <c r="P13" s="714"/>
    </row>
    <row r="14" spans="1:45" s="18" customFormat="1" ht="15" customHeight="1">
      <c r="A14" s="715" t="s">
        <v>613</v>
      </c>
      <c r="B14" s="716" t="s">
        <v>614</v>
      </c>
      <c r="C14" s="558">
        <f>IF(Input!$B$7="","",Input!$B$7)</f>
      </c>
      <c r="D14" s="558">
        <f>IF(Input!$B$9="","",Input!$B$9)</f>
      </c>
      <c r="E14" s="65"/>
      <c r="F14" s="61"/>
      <c r="G14" s="61" t="s">
        <v>615</v>
      </c>
      <c r="H14" s="61"/>
      <c r="I14" s="61"/>
      <c r="J14" s="61"/>
      <c r="K14" s="61"/>
      <c r="L14" s="61" t="s">
        <v>137</v>
      </c>
      <c r="M14" s="61" t="s">
        <v>137</v>
      </c>
      <c r="N14" s="61"/>
      <c r="O14" s="7" t="str">
        <f>Main!J1</f>
        <v>Revised 4/22/16</v>
      </c>
      <c r="P14" s="61"/>
      <c r="Q14" s="8"/>
      <c r="R14" s="8"/>
      <c r="S14" s="8"/>
      <c r="T14" s="8"/>
      <c r="U14" s="60"/>
      <c r="V14" s="60"/>
      <c r="W14" s="59"/>
      <c r="X14" s="59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30"/>
      <c r="AP14" s="21"/>
      <c r="AQ14" s="21"/>
      <c r="AR14" s="21"/>
      <c r="AS14" s="21"/>
    </row>
    <row r="15" spans="1:45" s="18" customFormat="1" ht="15" customHeight="1">
      <c r="A15" s="717" t="s">
        <v>617</v>
      </c>
      <c r="B15" s="718">
        <f>IF(E6="","",E6)</f>
      </c>
      <c r="C15" s="665">
        <f>IF(Input!$B$6="","",IF(Input!$B$6="E","Degree F",IF(Input!$B$6="M","Degree C")))</f>
      </c>
      <c r="D15" s="61"/>
      <c r="E15" s="61"/>
      <c r="F15" s="61"/>
      <c r="G15" s="61" t="s">
        <v>618</v>
      </c>
      <c r="H15" s="61"/>
      <c r="I15" s="61"/>
      <c r="J15" s="61"/>
      <c r="K15" s="706" t="s">
        <v>619</v>
      </c>
      <c r="L15" s="93">
        <f>IF($E$4="","",$E$4)</f>
      </c>
      <c r="M15" s="459"/>
      <c r="N15" s="706" t="s">
        <v>719</v>
      </c>
      <c r="O15" s="719">
        <f>IF(Source!B28="","",Source!B28)</f>
      </c>
      <c r="P15" s="61"/>
      <c r="Q15" s="38"/>
      <c r="T15" s="8"/>
      <c r="U15" s="60"/>
      <c r="V15" s="71"/>
      <c r="W15" s="71"/>
      <c r="X15" s="60"/>
      <c r="Y15" s="60"/>
      <c r="Z15" s="60"/>
      <c r="AA15" s="60"/>
      <c r="AB15" s="60"/>
      <c r="AC15" s="60"/>
      <c r="AD15" s="60"/>
      <c r="AE15" s="60"/>
      <c r="AF15" s="60"/>
      <c r="AG15" s="63"/>
      <c r="AH15" s="60"/>
      <c r="AI15" s="102"/>
      <c r="AJ15" s="60"/>
      <c r="AK15" s="60"/>
      <c r="AL15" s="60"/>
      <c r="AM15" s="60"/>
      <c r="AN15" s="60"/>
      <c r="AO15" s="30"/>
      <c r="AP15" s="21"/>
      <c r="AQ15" s="21"/>
      <c r="AR15" s="21"/>
      <c r="AS15" s="21"/>
    </row>
    <row r="16" spans="1:44" s="18" customFormat="1" ht="15" customHeight="1">
      <c r="A16" s="720"/>
      <c r="B16" s="706" t="s">
        <v>715</v>
      </c>
      <c r="C16" s="721">
        <f>IF(Input!B31="","",Input!B31)</f>
      </c>
      <c r="D16" s="721"/>
      <c r="E16" s="721"/>
      <c r="F16" s="61"/>
      <c r="G16" s="459"/>
      <c r="H16" s="706" t="s">
        <v>718</v>
      </c>
      <c r="I16" s="722">
        <f>IF(Input!B8="","",Input!B8)</f>
      </c>
      <c r="J16" s="61"/>
      <c r="K16" s="61"/>
      <c r="L16" s="61"/>
      <c r="M16" s="61"/>
      <c r="N16" s="61"/>
      <c r="O16" s="61"/>
      <c r="P16" s="61"/>
      <c r="Q16" s="8"/>
      <c r="R16" s="8"/>
      <c r="S16" s="8"/>
      <c r="T16" s="8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30"/>
      <c r="AP16" s="21"/>
      <c r="AQ16" s="21"/>
      <c r="AR16" s="21"/>
    </row>
    <row r="17" spans="1:44" s="18" customFormat="1" ht="15" customHeight="1">
      <c r="A17" s="320"/>
      <c r="B17" s="706" t="s">
        <v>716</v>
      </c>
      <c r="C17" s="721">
        <f>IF(Input!B33="","",Input!B33)</f>
      </c>
      <c r="D17" s="721"/>
      <c r="E17" s="721"/>
      <c r="F17" s="61"/>
      <c r="G17" s="459"/>
      <c r="H17" s="706" t="s">
        <v>717</v>
      </c>
      <c r="I17" s="722">
        <f>IF(D14="","",D14)</f>
      </c>
      <c r="J17" s="61"/>
      <c r="K17" s="706" t="s">
        <v>620</v>
      </c>
      <c r="L17" s="707">
        <f>IF(E5="","",E5)</f>
      </c>
      <c r="M17" s="708"/>
      <c r="N17" s="708"/>
      <c r="O17" s="709"/>
      <c r="P17" s="61"/>
      <c r="Q17" s="8"/>
      <c r="R17" s="8"/>
      <c r="S17" s="8"/>
      <c r="T17" s="8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3"/>
      <c r="AF17" s="60"/>
      <c r="AG17" s="60"/>
      <c r="AH17" s="60"/>
      <c r="AI17" s="60"/>
      <c r="AJ17" s="60"/>
      <c r="AK17" s="60"/>
      <c r="AL17" s="60"/>
      <c r="AM17" s="60"/>
      <c r="AN17" s="60"/>
      <c r="AO17" s="30"/>
      <c r="AP17" s="21"/>
      <c r="AQ17" s="21"/>
      <c r="AR17" s="21"/>
    </row>
    <row r="18" spans="1:44" s="18" customFormat="1" ht="15" customHeight="1">
      <c r="A18" s="723"/>
      <c r="B18" s="656"/>
      <c r="C18" s="656"/>
      <c r="D18" s="656"/>
      <c r="E18" s="656"/>
      <c r="F18" s="656"/>
      <c r="G18" s="656"/>
      <c r="H18" s="656"/>
      <c r="I18" s="656"/>
      <c r="J18" s="656"/>
      <c r="K18" s="656"/>
      <c r="L18" s="656"/>
      <c r="M18" s="656"/>
      <c r="N18" s="656"/>
      <c r="O18" s="656"/>
      <c r="P18" s="656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30"/>
      <c r="AP18" s="21"/>
      <c r="AQ18" s="21"/>
      <c r="AR18" s="21"/>
    </row>
    <row r="19" spans="1:44" s="18" customFormat="1" ht="15" customHeight="1">
      <c r="A19" s="717"/>
      <c r="B19" s="724" t="s">
        <v>621</v>
      </c>
      <c r="C19" s="725">
        <f>IF(Input!$C$64="","",Input!$C$64)</f>
      </c>
      <c r="D19" s="726" t="s">
        <v>622</v>
      </c>
      <c r="E19" s="727">
        <f>IF($E$4="","",$E$4)</f>
      </c>
      <c r="F19" s="728">
        <f>IF(Input!$C$65="","",Input!$C$65)</f>
      </c>
      <c r="G19" s="729"/>
      <c r="H19" s="730">
        <f>IF($E$4="","",$E$4)</f>
      </c>
      <c r="I19" s="731">
        <f>IF(Input!$C$66="","",Input!$C$66)</f>
      </c>
      <c r="J19" s="732"/>
      <c r="K19" s="733">
        <f>IF($E$4="","",$E$4)</f>
      </c>
      <c r="L19" s="734">
        <f>IF(Input!$C$67="","",Input!$C$67)</f>
      </c>
      <c r="M19" s="735"/>
      <c r="N19" s="736">
        <f>IF($E$4="","",$E$4)</f>
      </c>
      <c r="O19" s="777" t="s">
        <v>882</v>
      </c>
      <c r="P19" s="778">
        <f>IF($H$7="","",$H$7)</f>
      </c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30"/>
      <c r="AP19" s="21"/>
      <c r="AQ19" s="21"/>
      <c r="AR19" s="21"/>
    </row>
    <row r="20" spans="1:44" s="18" customFormat="1" ht="15" customHeight="1">
      <c r="A20" s="738"/>
      <c r="B20" s="739"/>
      <c r="C20" s="740" t="s">
        <v>867</v>
      </c>
      <c r="D20" s="740" t="s">
        <v>868</v>
      </c>
      <c r="E20" s="741" t="s">
        <v>869</v>
      </c>
      <c r="F20" s="742" t="s">
        <v>867</v>
      </c>
      <c r="G20" s="743" t="s">
        <v>868</v>
      </c>
      <c r="H20" s="744" t="s">
        <v>869</v>
      </c>
      <c r="I20" s="745" t="s">
        <v>867</v>
      </c>
      <c r="J20" s="746" t="s">
        <v>870</v>
      </c>
      <c r="K20" s="747" t="s">
        <v>869</v>
      </c>
      <c r="L20" s="748" t="s">
        <v>867</v>
      </c>
      <c r="M20" s="749" t="s">
        <v>870</v>
      </c>
      <c r="N20" s="750" t="s">
        <v>869</v>
      </c>
      <c r="O20" s="753" t="str">
        <f>+$G$9</f>
        <v>Started</v>
      </c>
      <c r="P20" s="262">
        <f>IF($H$9="","",$H$9)</f>
      </c>
      <c r="Q20" s="248"/>
      <c r="R20" s="59"/>
      <c r="U20" s="125"/>
      <c r="V20" s="60"/>
      <c r="W20" s="83"/>
      <c r="X20" s="100"/>
      <c r="Y20" s="248"/>
      <c r="Z20" s="59"/>
      <c r="AA20" s="83"/>
      <c r="AB20" s="59"/>
      <c r="AC20" s="248"/>
      <c r="AD20" s="59"/>
      <c r="AE20" s="83"/>
      <c r="AF20" s="59"/>
      <c r="AG20" s="248"/>
      <c r="AH20" s="59"/>
      <c r="AI20" s="83"/>
      <c r="AJ20" s="59"/>
      <c r="AK20" s="248"/>
      <c r="AL20" s="239"/>
      <c r="AM20" s="239"/>
      <c r="AN20" s="239"/>
      <c r="AO20" s="30"/>
      <c r="AP20" s="21"/>
      <c r="AQ20" s="21"/>
      <c r="AR20" s="21"/>
    </row>
    <row r="21" spans="1:44" s="18" customFormat="1" ht="15" customHeight="1">
      <c r="A21" s="751" t="s">
        <v>722</v>
      </c>
      <c r="B21" s="752"/>
      <c r="C21" s="211"/>
      <c r="D21" s="211"/>
      <c r="E21" s="221"/>
      <c r="F21" s="238"/>
      <c r="G21" s="211"/>
      <c r="H21" s="99"/>
      <c r="I21" s="238"/>
      <c r="J21" s="211"/>
      <c r="K21" s="99"/>
      <c r="L21" s="238"/>
      <c r="M21" s="211"/>
      <c r="N21" s="221"/>
      <c r="O21" s="779"/>
      <c r="P21" s="272">
        <f>IF($I$9="","",$I$9)</f>
      </c>
      <c r="Q21" s="83"/>
      <c r="R21" s="60"/>
      <c r="U21" s="125"/>
      <c r="V21" s="63"/>
      <c r="W21" s="83"/>
      <c r="X21" s="59"/>
      <c r="Y21" s="83"/>
      <c r="Z21" s="60"/>
      <c r="AA21" s="83"/>
      <c r="AB21" s="59"/>
      <c r="AC21" s="83"/>
      <c r="AD21" s="60"/>
      <c r="AE21" s="83"/>
      <c r="AF21" s="59"/>
      <c r="AG21" s="83"/>
      <c r="AH21" s="60"/>
      <c r="AI21" s="83"/>
      <c r="AJ21" s="59"/>
      <c r="AK21" s="83"/>
      <c r="AL21" s="65"/>
      <c r="AM21" s="65"/>
      <c r="AN21" s="65"/>
      <c r="AO21" s="30"/>
      <c r="AP21" s="21"/>
      <c r="AQ21" s="21"/>
      <c r="AR21" s="21"/>
    </row>
    <row r="22" spans="1:44" s="18" customFormat="1" ht="15" customHeight="1">
      <c r="A22" s="754" t="s">
        <v>721</v>
      </c>
      <c r="B22" s="755"/>
      <c r="C22" s="94"/>
      <c r="D22" s="135"/>
      <c r="E22" s="213"/>
      <c r="F22" s="222"/>
      <c r="G22" s="135"/>
      <c r="H22" s="94"/>
      <c r="I22" s="222"/>
      <c r="J22" s="135"/>
      <c r="K22" s="94"/>
      <c r="L22" s="222"/>
      <c r="M22" s="135"/>
      <c r="N22" s="213"/>
      <c r="O22" s="753" t="str">
        <f>+$G$10</f>
        <v>Completed</v>
      </c>
      <c r="P22" s="262">
        <f>IF($H$10="","",$H$10)</f>
      </c>
      <c r="Q22" s="83"/>
      <c r="R22" s="60"/>
      <c r="U22" s="125"/>
      <c r="V22" s="63"/>
      <c r="W22" s="83"/>
      <c r="X22" s="60"/>
      <c r="Y22" s="83"/>
      <c r="Z22" s="60"/>
      <c r="AA22" s="83"/>
      <c r="AB22" s="60"/>
      <c r="AC22" s="83"/>
      <c r="AD22" s="60"/>
      <c r="AE22" s="83"/>
      <c r="AF22" s="60"/>
      <c r="AG22" s="83"/>
      <c r="AH22" s="60"/>
      <c r="AI22" s="83"/>
      <c r="AJ22" s="60"/>
      <c r="AK22" s="83"/>
      <c r="AL22" s="65"/>
      <c r="AM22" s="65"/>
      <c r="AN22" s="65"/>
      <c r="AO22" s="30"/>
      <c r="AP22" s="21"/>
      <c r="AQ22" s="21"/>
      <c r="AR22" s="21"/>
    </row>
    <row r="23" spans="1:59" s="18" customFormat="1" ht="15" customHeight="1">
      <c r="A23" s="754" t="s">
        <v>720</v>
      </c>
      <c r="B23" s="755"/>
      <c r="C23" s="95"/>
      <c r="D23" s="135"/>
      <c r="E23" s="214"/>
      <c r="F23" s="223"/>
      <c r="G23" s="135"/>
      <c r="H23" s="95"/>
      <c r="I23" s="223"/>
      <c r="J23" s="135"/>
      <c r="K23" s="95"/>
      <c r="L23" s="223"/>
      <c r="M23" s="135"/>
      <c r="N23" s="214"/>
      <c r="O23" s="779"/>
      <c r="P23" s="272">
        <f>IF($I$10="","",$I$10)</f>
      </c>
      <c r="Q23" s="249"/>
      <c r="R23" s="60"/>
      <c r="U23" s="125"/>
      <c r="V23" s="63"/>
      <c r="W23" s="249"/>
      <c r="X23" s="60"/>
      <c r="Y23" s="249"/>
      <c r="Z23" s="60"/>
      <c r="AA23" s="249"/>
      <c r="AB23" s="60"/>
      <c r="AC23" s="249"/>
      <c r="AD23" s="60"/>
      <c r="AE23" s="249"/>
      <c r="AF23" s="60"/>
      <c r="AG23" s="249"/>
      <c r="AH23" s="60"/>
      <c r="AI23" s="249"/>
      <c r="AJ23" s="60"/>
      <c r="AK23" s="249"/>
      <c r="AL23" s="65"/>
      <c r="AM23" s="65"/>
      <c r="AN23" s="65"/>
      <c r="AO23" s="30"/>
      <c r="AP23" s="21"/>
      <c r="AQ23" s="1039"/>
      <c r="AR23" s="1039"/>
      <c r="AS23" s="1039"/>
      <c r="AT23" s="1039"/>
      <c r="AU23" s="1039"/>
      <c r="AV23" s="1039"/>
      <c r="AW23" s="1039"/>
      <c r="AX23" s="1039"/>
      <c r="AY23" s="1039"/>
      <c r="AZ23" s="1039"/>
      <c r="BA23" s="1039"/>
      <c r="BB23" s="1039"/>
      <c r="BC23" s="1039"/>
      <c r="BD23" s="1039"/>
      <c r="BE23" s="1039"/>
      <c r="BF23" s="1039"/>
      <c r="BG23" s="125"/>
    </row>
    <row r="24" spans="1:90" s="18" customFormat="1" ht="15" customHeight="1">
      <c r="A24" s="754" t="s">
        <v>723</v>
      </c>
      <c r="B24" s="710">
        <f>IF(Input!$B$6="","",IF(Input!$B$6="E","Degree F",IF(Input!$B$6="M","Degree C")))</f>
      </c>
      <c r="C24" s="94"/>
      <c r="D24" s="94"/>
      <c r="E24" s="215"/>
      <c r="F24" s="222"/>
      <c r="G24" s="135"/>
      <c r="H24" s="96"/>
      <c r="I24" s="222"/>
      <c r="J24" s="135"/>
      <c r="K24" s="96"/>
      <c r="L24" s="222"/>
      <c r="M24" s="135"/>
      <c r="N24" s="215"/>
      <c r="O24" s="758" t="s">
        <v>877</v>
      </c>
      <c r="P24" s="263"/>
      <c r="Q24" s="245"/>
      <c r="R24" s="60"/>
      <c r="S24" s="21" t="s">
        <v>861</v>
      </c>
      <c r="T24" s="18" t="s">
        <v>584</v>
      </c>
      <c r="U24" s="125"/>
      <c r="V24" s="63"/>
      <c r="W24" s="250"/>
      <c r="X24" s="71"/>
      <c r="Y24" s="250"/>
      <c r="Z24" s="60"/>
      <c r="AA24" s="250"/>
      <c r="AB24" s="60"/>
      <c r="AC24" s="250"/>
      <c r="AD24" s="60"/>
      <c r="AE24" s="250"/>
      <c r="AF24" s="60"/>
      <c r="AG24" s="250"/>
      <c r="AH24" s="60"/>
      <c r="AI24" s="250"/>
      <c r="AJ24" s="60"/>
      <c r="AK24" s="250"/>
      <c r="AL24" s="65"/>
      <c r="AM24" s="65"/>
      <c r="AN24" s="239"/>
      <c r="AO24" s="30"/>
      <c r="AP24" s="21"/>
      <c r="AQ24" s="37"/>
      <c r="AR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203"/>
      <c r="BH24" s="37"/>
      <c r="BI24" s="30"/>
      <c r="BJ24" s="37"/>
      <c r="BK24" s="30"/>
      <c r="BL24" s="37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7"/>
      <c r="CB24" s="37"/>
      <c r="CC24" s="37"/>
      <c r="CD24" s="37"/>
      <c r="CE24" s="37"/>
      <c r="CF24" s="30"/>
      <c r="CG24" s="30"/>
      <c r="CH24" s="30"/>
      <c r="CI24" s="30"/>
      <c r="CJ24" s="30"/>
      <c r="CK24" s="30"/>
      <c r="CL24" s="30"/>
    </row>
    <row r="25" spans="1:44" s="18" customFormat="1" ht="15" customHeight="1">
      <c r="A25" s="754" t="s">
        <v>724</v>
      </c>
      <c r="B25" s="710">
        <f>IF(Input!$B$6="","",IF(Input!$B$6="E","Degree F",IF(Input!$B$6="M","Degree C")))</f>
      </c>
      <c r="C25" s="201"/>
      <c r="D25" s="201"/>
      <c r="E25" s="216"/>
      <c r="F25" s="224"/>
      <c r="G25" s="135"/>
      <c r="H25" s="98"/>
      <c r="I25" s="224"/>
      <c r="J25" s="135"/>
      <c r="K25" s="98"/>
      <c r="L25" s="224"/>
      <c r="M25" s="135"/>
      <c r="N25" s="216"/>
      <c r="O25" s="259">
        <f>IF($B$9="","",$B$9)</f>
      </c>
      <c r="P25" s="759">
        <f>IF(Input!$B$6="","",IF(Input!$B$6="E","Degree F",IF(Input!$B$6="M","Degree C")))</f>
      </c>
      <c r="Q25" s="245"/>
      <c r="R25" s="60"/>
      <c r="S25" s="21" t="s">
        <v>862</v>
      </c>
      <c r="T25" s="18" t="s">
        <v>887</v>
      </c>
      <c r="U25" s="125"/>
      <c r="V25" s="63"/>
      <c r="W25" s="250"/>
      <c r="X25" s="60"/>
      <c r="Y25" s="250"/>
      <c r="Z25" s="60"/>
      <c r="AA25" s="250"/>
      <c r="AB25" s="60"/>
      <c r="AC25" s="250"/>
      <c r="AD25" s="60"/>
      <c r="AE25" s="250"/>
      <c r="AF25" s="60"/>
      <c r="AG25" s="250"/>
      <c r="AH25" s="60"/>
      <c r="AI25" s="250"/>
      <c r="AJ25" s="60"/>
      <c r="AK25" s="250"/>
      <c r="AL25" s="65"/>
      <c r="AM25" s="65"/>
      <c r="AN25" s="239"/>
      <c r="AO25" s="30"/>
      <c r="AP25" s="21"/>
      <c r="AQ25" s="21"/>
      <c r="AR25" s="21"/>
    </row>
    <row r="26" spans="1:44" s="18" customFormat="1" ht="15" customHeight="1">
      <c r="A26" s="760" t="s">
        <v>725</v>
      </c>
      <c r="B26" s="783" t="s">
        <v>861</v>
      </c>
      <c r="C26" s="204"/>
      <c r="D26" s="204"/>
      <c r="E26" s="217"/>
      <c r="F26" s="225"/>
      <c r="G26" s="135"/>
      <c r="H26" s="202"/>
      <c r="I26" s="225"/>
      <c r="J26" s="135"/>
      <c r="K26" s="202"/>
      <c r="L26" s="225"/>
      <c r="M26" s="135"/>
      <c r="N26" s="217"/>
      <c r="O26" s="756"/>
      <c r="P26" s="943" t="s">
        <v>1213</v>
      </c>
      <c r="Q26" s="250"/>
      <c r="R26" s="60"/>
      <c r="S26" s="18" t="s">
        <v>965</v>
      </c>
      <c r="U26" s="125"/>
      <c r="V26" s="63"/>
      <c r="W26" s="250"/>
      <c r="X26" s="60"/>
      <c r="Y26" s="250"/>
      <c r="Z26" s="240"/>
      <c r="AA26" s="250"/>
      <c r="AB26" s="240"/>
      <c r="AC26" s="250"/>
      <c r="AD26" s="240"/>
      <c r="AE26" s="250"/>
      <c r="AF26" s="240"/>
      <c r="AG26" s="250"/>
      <c r="AH26" s="60"/>
      <c r="AI26" s="250"/>
      <c r="AJ26" s="60"/>
      <c r="AK26" s="250"/>
      <c r="AL26" s="65"/>
      <c r="AM26" s="240"/>
      <c r="AN26" s="241"/>
      <c r="AO26" s="30"/>
      <c r="AP26" s="21"/>
      <c r="AQ26" s="21"/>
      <c r="AR26" s="21"/>
    </row>
    <row r="27" spans="1:44" s="18" customFormat="1" ht="15" customHeight="1">
      <c r="A27" s="754" t="s">
        <v>726</v>
      </c>
      <c r="B27" s="783" t="s">
        <v>862</v>
      </c>
      <c r="C27" s="205"/>
      <c r="D27" s="205"/>
      <c r="E27" s="218"/>
      <c r="F27" s="226"/>
      <c r="G27" s="135"/>
      <c r="H27" s="97"/>
      <c r="I27" s="226"/>
      <c r="J27" s="135"/>
      <c r="K27" s="97"/>
      <c r="L27" s="226"/>
      <c r="M27" s="135"/>
      <c r="N27" s="218"/>
      <c r="O27" s="756"/>
      <c r="P27" s="944" t="s">
        <v>1214</v>
      </c>
      <c r="Q27" s="242"/>
      <c r="R27" s="60"/>
      <c r="S27" s="21" t="s">
        <v>854</v>
      </c>
      <c r="U27" s="125"/>
      <c r="V27" s="63"/>
      <c r="W27" s="242"/>
      <c r="X27" s="60"/>
      <c r="Y27" s="242"/>
      <c r="Z27" s="60"/>
      <c r="AA27" s="242"/>
      <c r="AB27" s="60"/>
      <c r="AC27" s="242"/>
      <c r="AD27" s="60"/>
      <c r="AE27" s="242"/>
      <c r="AF27" s="60"/>
      <c r="AG27" s="242"/>
      <c r="AH27" s="60"/>
      <c r="AI27" s="242"/>
      <c r="AJ27" s="60"/>
      <c r="AK27" s="242"/>
      <c r="AL27" s="65"/>
      <c r="AM27" s="65"/>
      <c r="AN27" s="65"/>
      <c r="AO27" s="30"/>
      <c r="AP27" s="21"/>
      <c r="AQ27" s="21"/>
      <c r="AR27" s="21"/>
    </row>
    <row r="28" spans="1:44" s="18" customFormat="1" ht="15" customHeight="1">
      <c r="A28" s="754" t="s">
        <v>866</v>
      </c>
      <c r="B28" s="783" t="s">
        <v>865</v>
      </c>
      <c r="C28" s="206"/>
      <c r="D28" s="206"/>
      <c r="E28" s="215"/>
      <c r="F28" s="227"/>
      <c r="G28" s="135"/>
      <c r="H28" s="96"/>
      <c r="I28" s="227"/>
      <c r="J28" s="135"/>
      <c r="K28" s="96"/>
      <c r="L28" s="227"/>
      <c r="M28" s="135"/>
      <c r="N28" s="215"/>
      <c r="O28" s="945" t="s">
        <v>1215</v>
      </c>
      <c r="P28" s="946"/>
      <c r="Q28" s="242"/>
      <c r="R28" s="60"/>
      <c r="S28" s="18" t="s">
        <v>863</v>
      </c>
      <c r="U28" s="125"/>
      <c r="V28" s="63"/>
      <c r="W28" s="242"/>
      <c r="X28" s="71"/>
      <c r="Y28" s="242"/>
      <c r="Z28" s="60"/>
      <c r="AA28" s="242"/>
      <c r="AB28" s="60"/>
      <c r="AC28" s="242"/>
      <c r="AD28" s="60"/>
      <c r="AE28" s="242"/>
      <c r="AF28" s="60"/>
      <c r="AG28" s="242"/>
      <c r="AH28" s="60"/>
      <c r="AI28" s="242"/>
      <c r="AJ28" s="60"/>
      <c r="AK28" s="242"/>
      <c r="AL28" s="65"/>
      <c r="AM28" s="65"/>
      <c r="AN28" s="243"/>
      <c r="AO28" s="30"/>
      <c r="AP28" s="21"/>
      <c r="AQ28" s="21"/>
      <c r="AR28" s="21"/>
    </row>
    <row r="29" spans="1:44" s="18" customFormat="1" ht="15" customHeight="1">
      <c r="A29" s="754" t="s">
        <v>871</v>
      </c>
      <c r="B29" s="783" t="s">
        <v>865</v>
      </c>
      <c r="C29" s="206"/>
      <c r="D29" s="206"/>
      <c r="E29" s="215"/>
      <c r="F29" s="227"/>
      <c r="G29" s="135"/>
      <c r="H29" s="96"/>
      <c r="I29" s="227"/>
      <c r="J29" s="135"/>
      <c r="K29" s="96"/>
      <c r="L29" s="227"/>
      <c r="M29" s="135"/>
      <c r="N29" s="215"/>
      <c r="O29" s="945" t="s">
        <v>1216</v>
      </c>
      <c r="P29" s="946"/>
      <c r="Q29" s="242"/>
      <c r="R29" s="60"/>
      <c r="S29" s="18" t="s">
        <v>860</v>
      </c>
      <c r="U29" s="125"/>
      <c r="V29" s="63"/>
      <c r="W29" s="242"/>
      <c r="X29" s="71"/>
      <c r="Y29" s="242"/>
      <c r="Z29" s="60"/>
      <c r="AA29" s="242"/>
      <c r="AB29" s="60"/>
      <c r="AC29" s="242"/>
      <c r="AD29" s="60"/>
      <c r="AE29" s="242"/>
      <c r="AF29" s="60"/>
      <c r="AG29" s="242"/>
      <c r="AH29" s="60"/>
      <c r="AI29" s="242"/>
      <c r="AJ29" s="60"/>
      <c r="AK29" s="242"/>
      <c r="AL29" s="65"/>
      <c r="AM29" s="65"/>
      <c r="AN29" s="243"/>
      <c r="AO29" s="30"/>
      <c r="AP29" s="21"/>
      <c r="AQ29" s="21"/>
      <c r="AR29" s="21"/>
    </row>
    <row r="30" spans="1:44" s="18" customFormat="1" ht="15" customHeight="1">
      <c r="A30" s="754" t="s">
        <v>872</v>
      </c>
      <c r="B30" s="783" t="s">
        <v>865</v>
      </c>
      <c r="C30" s="206"/>
      <c r="D30" s="206"/>
      <c r="E30" s="215"/>
      <c r="F30" s="227"/>
      <c r="G30" s="135"/>
      <c r="H30" s="96"/>
      <c r="I30" s="227"/>
      <c r="J30" s="135"/>
      <c r="K30" s="96"/>
      <c r="L30" s="227"/>
      <c r="M30" s="135"/>
      <c r="N30" s="215"/>
      <c r="O30" s="945" t="s">
        <v>1217</v>
      </c>
      <c r="P30" s="946"/>
      <c r="Q30" s="242"/>
      <c r="R30" s="60"/>
      <c r="S30" s="21" t="s">
        <v>864</v>
      </c>
      <c r="U30" s="125"/>
      <c r="V30" s="63"/>
      <c r="W30" s="242"/>
      <c r="X30" s="71"/>
      <c r="Y30" s="242"/>
      <c r="Z30" s="60"/>
      <c r="AA30" s="242"/>
      <c r="AB30" s="60"/>
      <c r="AC30" s="242"/>
      <c r="AD30" s="60"/>
      <c r="AE30" s="242"/>
      <c r="AF30" s="60"/>
      <c r="AG30" s="242"/>
      <c r="AH30" s="60"/>
      <c r="AI30" s="242"/>
      <c r="AJ30" s="60"/>
      <c r="AK30" s="242"/>
      <c r="AL30" s="65"/>
      <c r="AM30" s="65"/>
      <c r="AN30" s="243"/>
      <c r="AO30" s="30"/>
      <c r="AP30" s="21"/>
      <c r="AQ30" s="21"/>
      <c r="AR30" s="21"/>
    </row>
    <row r="31" spans="1:44" s="18" customFormat="1" ht="15" customHeight="1">
      <c r="A31" s="754" t="s">
        <v>873</v>
      </c>
      <c r="B31" s="783" t="s">
        <v>865</v>
      </c>
      <c r="C31" s="206"/>
      <c r="D31" s="206"/>
      <c r="E31" s="215"/>
      <c r="F31" s="227"/>
      <c r="G31" s="135"/>
      <c r="H31" s="96"/>
      <c r="I31" s="227"/>
      <c r="J31" s="135"/>
      <c r="K31" s="96"/>
      <c r="L31" s="227"/>
      <c r="M31" s="135"/>
      <c r="N31" s="215"/>
      <c r="O31" s="945" t="s">
        <v>1218</v>
      </c>
      <c r="P31" s="946"/>
      <c r="Q31" s="242"/>
      <c r="R31" s="60"/>
      <c r="S31" s="21" t="s">
        <v>855</v>
      </c>
      <c r="U31" s="125"/>
      <c r="V31" s="63"/>
      <c r="W31" s="242"/>
      <c r="X31" s="60"/>
      <c r="Y31" s="242"/>
      <c r="Z31" s="241"/>
      <c r="AA31" s="242"/>
      <c r="AB31" s="241"/>
      <c r="AC31" s="242"/>
      <c r="AD31" s="241"/>
      <c r="AE31" s="242"/>
      <c r="AF31" s="241"/>
      <c r="AG31" s="242"/>
      <c r="AH31" s="241"/>
      <c r="AI31" s="242"/>
      <c r="AJ31" s="241"/>
      <c r="AK31" s="242"/>
      <c r="AL31" s="65"/>
      <c r="AM31" s="65"/>
      <c r="AN31" s="243"/>
      <c r="AO31" s="30"/>
      <c r="AP31" s="21"/>
      <c r="AQ31" s="21"/>
      <c r="AR31" s="21"/>
    </row>
    <row r="32" spans="1:44" s="18" customFormat="1" ht="15" customHeight="1">
      <c r="A32" s="754" t="s">
        <v>727</v>
      </c>
      <c r="B32" s="783" t="s">
        <v>865</v>
      </c>
      <c r="C32" s="206"/>
      <c r="D32" s="206"/>
      <c r="E32" s="215"/>
      <c r="F32" s="227"/>
      <c r="G32" s="135"/>
      <c r="H32" s="96"/>
      <c r="I32" s="227"/>
      <c r="J32" s="135"/>
      <c r="K32" s="96"/>
      <c r="L32" s="227"/>
      <c r="M32" s="135"/>
      <c r="N32" s="215"/>
      <c r="O32" s="945" t="s">
        <v>1219</v>
      </c>
      <c r="P32" s="946"/>
      <c r="Q32" s="242"/>
      <c r="R32" s="60"/>
      <c r="S32" s="21" t="s">
        <v>865</v>
      </c>
      <c r="U32" s="125"/>
      <c r="V32" s="63"/>
      <c r="W32" s="242"/>
      <c r="X32" s="60"/>
      <c r="Y32" s="242"/>
      <c r="Z32" s="60"/>
      <c r="AA32" s="242"/>
      <c r="AB32" s="60"/>
      <c r="AC32" s="242"/>
      <c r="AD32" s="60"/>
      <c r="AE32" s="242"/>
      <c r="AF32" s="60"/>
      <c r="AG32" s="242"/>
      <c r="AH32" s="60"/>
      <c r="AI32" s="242"/>
      <c r="AJ32" s="60"/>
      <c r="AK32" s="242"/>
      <c r="AL32" s="65"/>
      <c r="AM32" s="65"/>
      <c r="AN32" s="243"/>
      <c r="AO32" s="30"/>
      <c r="AP32" s="21"/>
      <c r="AQ32" s="21"/>
      <c r="AR32" s="21"/>
    </row>
    <row r="33" spans="1:44" s="18" customFormat="1" ht="15" customHeight="1">
      <c r="A33" s="754" t="s">
        <v>729</v>
      </c>
      <c r="B33" s="783" t="s">
        <v>854</v>
      </c>
      <c r="C33" s="206"/>
      <c r="D33" s="206"/>
      <c r="E33" s="215"/>
      <c r="F33" s="227"/>
      <c r="G33" s="135"/>
      <c r="H33" s="96"/>
      <c r="I33" s="227"/>
      <c r="J33" s="135"/>
      <c r="K33" s="96"/>
      <c r="L33" s="227"/>
      <c r="M33" s="135"/>
      <c r="N33" s="215"/>
      <c r="O33" s="945" t="s">
        <v>1220</v>
      </c>
      <c r="P33" s="946"/>
      <c r="Q33" s="242"/>
      <c r="R33" s="60"/>
      <c r="S33" s="21" t="s">
        <v>856</v>
      </c>
      <c r="U33" s="125"/>
      <c r="V33" s="63"/>
      <c r="W33" s="242"/>
      <c r="X33" s="60"/>
      <c r="Y33" s="242"/>
      <c r="Z33" s="60"/>
      <c r="AA33" s="242"/>
      <c r="AB33" s="60"/>
      <c r="AC33" s="242"/>
      <c r="AD33" s="60"/>
      <c r="AE33" s="242"/>
      <c r="AF33" s="60"/>
      <c r="AG33" s="242"/>
      <c r="AH33" s="60"/>
      <c r="AI33" s="242"/>
      <c r="AJ33" s="60"/>
      <c r="AK33" s="242"/>
      <c r="AL33" s="65"/>
      <c r="AM33" s="65"/>
      <c r="AN33" s="243"/>
      <c r="AO33" s="30"/>
      <c r="AP33" s="21"/>
      <c r="AQ33" s="21"/>
      <c r="AR33" s="21"/>
    </row>
    <row r="34" spans="1:44" s="18" customFormat="1" ht="15" customHeight="1">
      <c r="A34" s="754" t="s">
        <v>730</v>
      </c>
      <c r="B34" s="783" t="s">
        <v>854</v>
      </c>
      <c r="C34" s="206"/>
      <c r="D34" s="206"/>
      <c r="E34" s="215"/>
      <c r="F34" s="227"/>
      <c r="G34" s="135"/>
      <c r="H34" s="96"/>
      <c r="I34" s="227"/>
      <c r="J34" s="135"/>
      <c r="K34" s="96"/>
      <c r="L34" s="227"/>
      <c r="M34" s="135"/>
      <c r="N34" s="215"/>
      <c r="O34" s="945" t="s">
        <v>1221</v>
      </c>
      <c r="P34" s="946"/>
      <c r="Q34" s="242"/>
      <c r="R34" s="60"/>
      <c r="S34" s="21" t="s">
        <v>857</v>
      </c>
      <c r="U34" s="125"/>
      <c r="V34" s="63"/>
      <c r="W34" s="242"/>
      <c r="X34" s="60"/>
      <c r="Y34" s="242"/>
      <c r="Z34" s="60"/>
      <c r="AA34" s="242"/>
      <c r="AB34" s="60"/>
      <c r="AC34" s="242"/>
      <c r="AD34" s="60"/>
      <c r="AE34" s="242"/>
      <c r="AF34" s="60"/>
      <c r="AG34" s="242"/>
      <c r="AH34" s="60"/>
      <c r="AI34" s="242"/>
      <c r="AJ34" s="60"/>
      <c r="AK34" s="242"/>
      <c r="AL34" s="65"/>
      <c r="AM34" s="65"/>
      <c r="AN34" s="243"/>
      <c r="AO34" s="30"/>
      <c r="AP34" s="21"/>
      <c r="AQ34" s="21"/>
      <c r="AR34" s="21"/>
    </row>
    <row r="35" spans="1:44" s="18" customFormat="1" ht="15" customHeight="1">
      <c r="A35" s="754" t="s">
        <v>732</v>
      </c>
      <c r="B35" s="783" t="s">
        <v>854</v>
      </c>
      <c r="C35" s="206"/>
      <c r="D35" s="206"/>
      <c r="E35" s="215"/>
      <c r="F35" s="227"/>
      <c r="G35" s="135"/>
      <c r="H35" s="96"/>
      <c r="I35" s="227"/>
      <c r="J35" s="135"/>
      <c r="K35" s="96"/>
      <c r="L35" s="227"/>
      <c r="M35" s="135"/>
      <c r="N35" s="215"/>
      <c r="O35" s="945" t="s">
        <v>1222</v>
      </c>
      <c r="P35" s="946"/>
      <c r="Q35" s="251"/>
      <c r="R35" s="60"/>
      <c r="S35" s="21" t="s">
        <v>858</v>
      </c>
      <c r="U35" s="125"/>
      <c r="V35" s="63"/>
      <c r="W35" s="242"/>
      <c r="X35" s="60"/>
      <c r="Y35" s="242"/>
      <c r="Z35" s="60"/>
      <c r="AA35" s="242"/>
      <c r="AB35" s="60"/>
      <c r="AC35" s="242"/>
      <c r="AD35" s="60"/>
      <c r="AE35" s="242"/>
      <c r="AF35" s="60"/>
      <c r="AG35" s="242"/>
      <c r="AH35" s="60"/>
      <c r="AI35" s="242"/>
      <c r="AJ35" s="60"/>
      <c r="AK35" s="242"/>
      <c r="AL35" s="65"/>
      <c r="AM35" s="65"/>
      <c r="AN35" s="243"/>
      <c r="AO35" s="30"/>
      <c r="AP35" s="21"/>
      <c r="AQ35" s="21"/>
      <c r="AR35" s="21"/>
    </row>
    <row r="36" spans="1:44" s="18" customFormat="1" ht="15" customHeight="1">
      <c r="A36" s="754" t="s">
        <v>733</v>
      </c>
      <c r="B36" s="783" t="s">
        <v>854</v>
      </c>
      <c r="C36" s="206"/>
      <c r="D36" s="206"/>
      <c r="E36" s="215"/>
      <c r="F36" s="227"/>
      <c r="G36" s="135"/>
      <c r="H36" s="96"/>
      <c r="I36" s="227"/>
      <c r="J36" s="135"/>
      <c r="K36" s="96"/>
      <c r="L36" s="227"/>
      <c r="M36" s="135"/>
      <c r="N36" s="215"/>
      <c r="O36" s="945" t="s">
        <v>1223</v>
      </c>
      <c r="P36" s="946"/>
      <c r="Q36" s="251"/>
      <c r="R36" s="60"/>
      <c r="S36" s="21" t="s">
        <v>859</v>
      </c>
      <c r="U36" s="125"/>
      <c r="V36" s="63"/>
      <c r="W36" s="242"/>
      <c r="X36" s="60"/>
      <c r="Y36" s="242"/>
      <c r="Z36" s="60"/>
      <c r="AA36" s="242"/>
      <c r="AB36" s="60"/>
      <c r="AC36" s="242"/>
      <c r="AD36" s="60"/>
      <c r="AE36" s="242"/>
      <c r="AF36" s="60"/>
      <c r="AG36" s="242"/>
      <c r="AH36" s="60"/>
      <c r="AI36" s="242"/>
      <c r="AJ36" s="60"/>
      <c r="AK36" s="242"/>
      <c r="AL36" s="65"/>
      <c r="AM36" s="65"/>
      <c r="AN36" s="243"/>
      <c r="AO36" s="30"/>
      <c r="AP36" s="21"/>
      <c r="AQ36" s="21"/>
      <c r="AR36" s="21"/>
    </row>
    <row r="37" spans="1:44" s="18" customFormat="1" ht="15" customHeight="1">
      <c r="A37" s="754" t="s">
        <v>731</v>
      </c>
      <c r="B37" s="783" t="s">
        <v>854</v>
      </c>
      <c r="C37" s="206"/>
      <c r="D37" s="206"/>
      <c r="E37" s="215"/>
      <c r="F37" s="227"/>
      <c r="G37" s="135"/>
      <c r="H37" s="96"/>
      <c r="I37" s="227"/>
      <c r="J37" s="135"/>
      <c r="K37" s="96"/>
      <c r="L37" s="227"/>
      <c r="M37" s="135"/>
      <c r="N37" s="215"/>
      <c r="O37" s="945" t="s">
        <v>1224</v>
      </c>
      <c r="P37" s="946"/>
      <c r="Q37" s="250"/>
      <c r="R37" s="60"/>
      <c r="S37" s="21" t="s">
        <v>110</v>
      </c>
      <c r="U37" s="125"/>
      <c r="V37" s="63"/>
      <c r="W37" s="242"/>
      <c r="X37" s="60"/>
      <c r="Y37" s="242"/>
      <c r="Z37" s="60"/>
      <c r="AA37" s="242"/>
      <c r="AB37" s="60"/>
      <c r="AC37" s="242"/>
      <c r="AD37" s="60"/>
      <c r="AE37" s="242"/>
      <c r="AF37" s="60"/>
      <c r="AG37" s="242"/>
      <c r="AH37" s="60"/>
      <c r="AI37" s="242"/>
      <c r="AJ37" s="60"/>
      <c r="AK37" s="242"/>
      <c r="AL37" s="65"/>
      <c r="AM37" s="65"/>
      <c r="AN37" s="243"/>
      <c r="AO37" s="30"/>
      <c r="AP37" s="21"/>
      <c r="AQ37" s="21"/>
      <c r="AR37" s="21"/>
    </row>
    <row r="38" spans="1:45" s="18" customFormat="1" ht="15" customHeight="1">
      <c r="A38" s="754" t="s">
        <v>1173</v>
      </c>
      <c r="B38" s="783" t="s">
        <v>865</v>
      </c>
      <c r="C38" s="206"/>
      <c r="D38" s="206"/>
      <c r="E38" s="215"/>
      <c r="F38" s="227"/>
      <c r="G38" s="135"/>
      <c r="H38" s="96"/>
      <c r="I38" s="227"/>
      <c r="J38" s="135"/>
      <c r="K38" s="96"/>
      <c r="L38" s="227"/>
      <c r="M38" s="135"/>
      <c r="N38" s="215"/>
      <c r="O38" s="945" t="s">
        <v>1225</v>
      </c>
      <c r="P38" s="19"/>
      <c r="Q38" s="248"/>
      <c r="R38" s="60"/>
      <c r="S38" s="18" t="s">
        <v>813</v>
      </c>
      <c r="U38" s="125"/>
      <c r="V38" s="63"/>
      <c r="W38" s="250"/>
      <c r="X38" s="71"/>
      <c r="Y38" s="250"/>
      <c r="Z38" s="71"/>
      <c r="AA38" s="250"/>
      <c r="AB38" s="71"/>
      <c r="AC38" s="250"/>
      <c r="AD38" s="71"/>
      <c r="AE38" s="250"/>
      <c r="AF38" s="71"/>
      <c r="AG38" s="250"/>
      <c r="AH38" s="71"/>
      <c r="AI38" s="250"/>
      <c r="AJ38" s="71"/>
      <c r="AK38" s="250"/>
      <c r="AL38" s="65"/>
      <c r="AM38" s="65"/>
      <c r="AN38" s="244"/>
      <c r="AO38" s="30"/>
      <c r="AP38" s="21"/>
      <c r="AQ38" s="21"/>
      <c r="AR38" s="21"/>
      <c r="AS38" s="21"/>
    </row>
    <row r="39" spans="1:45" s="18" customFormat="1" ht="15" customHeight="1">
      <c r="A39" s="754" t="s">
        <v>728</v>
      </c>
      <c r="B39" s="783" t="s">
        <v>864</v>
      </c>
      <c r="C39" s="206"/>
      <c r="D39" s="206"/>
      <c r="E39" s="215"/>
      <c r="F39" s="227"/>
      <c r="G39" s="135"/>
      <c r="H39" s="96"/>
      <c r="I39" s="227"/>
      <c r="J39" s="135"/>
      <c r="K39" s="96"/>
      <c r="L39" s="227"/>
      <c r="M39" s="135"/>
      <c r="N39" s="215"/>
      <c r="O39" s="945" t="s">
        <v>1226</v>
      </c>
      <c r="P39" s="19"/>
      <c r="Q39" s="242"/>
      <c r="R39" s="71"/>
      <c r="S39" s="18" t="s">
        <v>814</v>
      </c>
      <c r="U39" s="125"/>
      <c r="V39" s="63"/>
      <c r="W39" s="250"/>
      <c r="X39" s="71"/>
      <c r="Y39" s="250"/>
      <c r="Z39" s="71"/>
      <c r="AA39" s="250"/>
      <c r="AB39" s="71"/>
      <c r="AC39" s="250"/>
      <c r="AD39" s="71"/>
      <c r="AE39" s="250"/>
      <c r="AF39" s="71"/>
      <c r="AG39" s="250"/>
      <c r="AH39" s="71"/>
      <c r="AI39" s="250"/>
      <c r="AJ39" s="71"/>
      <c r="AK39" s="250"/>
      <c r="AL39" s="65"/>
      <c r="AM39" s="65"/>
      <c r="AN39" s="244"/>
      <c r="AO39" s="30"/>
      <c r="AP39" s="21"/>
      <c r="AQ39" s="21"/>
      <c r="AR39" s="21"/>
      <c r="AS39" s="21"/>
    </row>
    <row r="40" spans="1:45" s="18" customFormat="1" ht="15" customHeight="1">
      <c r="A40" s="782"/>
      <c r="B40" s="784"/>
      <c r="C40" s="206"/>
      <c r="D40" s="206"/>
      <c r="E40" s="215"/>
      <c r="F40" s="227"/>
      <c r="G40" s="135"/>
      <c r="H40" s="96"/>
      <c r="I40" s="227"/>
      <c r="J40" s="135"/>
      <c r="K40" s="96"/>
      <c r="L40" s="227"/>
      <c r="M40" s="135"/>
      <c r="N40" s="215"/>
      <c r="O40" s="753" t="s">
        <v>876</v>
      </c>
      <c r="P40" s="763"/>
      <c r="R40" s="71"/>
      <c r="S40" s="18" t="s">
        <v>815</v>
      </c>
      <c r="U40" s="125"/>
      <c r="V40" s="63"/>
      <c r="W40" s="251"/>
      <c r="X40" s="71"/>
      <c r="Y40" s="251"/>
      <c r="Z40" s="71"/>
      <c r="AA40" s="251"/>
      <c r="AB40" s="71"/>
      <c r="AC40" s="251"/>
      <c r="AD40" s="71"/>
      <c r="AE40" s="251"/>
      <c r="AF40" s="71"/>
      <c r="AG40" s="251"/>
      <c r="AH40" s="71"/>
      <c r="AI40" s="251"/>
      <c r="AJ40" s="71"/>
      <c r="AK40" s="251"/>
      <c r="AL40" s="65"/>
      <c r="AM40" s="65"/>
      <c r="AN40" s="244"/>
      <c r="AO40" s="30"/>
      <c r="AP40" s="21"/>
      <c r="AQ40" s="21"/>
      <c r="AR40" s="21"/>
      <c r="AS40" s="21"/>
    </row>
    <row r="41" spans="1:45" s="18" customFormat="1" ht="15" customHeight="1">
      <c r="A41" s="782"/>
      <c r="B41" s="784"/>
      <c r="C41" s="206"/>
      <c r="D41" s="206"/>
      <c r="E41" s="215"/>
      <c r="F41" s="227"/>
      <c r="G41" s="135"/>
      <c r="H41" s="96"/>
      <c r="I41" s="227"/>
      <c r="J41" s="135"/>
      <c r="K41" s="96"/>
      <c r="L41" s="227"/>
      <c r="M41" s="135"/>
      <c r="N41" s="215"/>
      <c r="O41" s="764">
        <f>IF($B$4="","",$B$4)</f>
      </c>
      <c r="P41" s="790" t="s">
        <v>856</v>
      </c>
      <c r="S41" s="18" t="s">
        <v>816</v>
      </c>
      <c r="U41" s="125"/>
      <c r="V41" s="63"/>
      <c r="W41" s="251"/>
      <c r="X41" s="60"/>
      <c r="Y41" s="251"/>
      <c r="Z41" s="60"/>
      <c r="AA41" s="251"/>
      <c r="AB41" s="60"/>
      <c r="AC41" s="251"/>
      <c r="AD41" s="60"/>
      <c r="AE41" s="251"/>
      <c r="AF41" s="60"/>
      <c r="AG41" s="251"/>
      <c r="AH41" s="60"/>
      <c r="AI41" s="251"/>
      <c r="AJ41" s="60"/>
      <c r="AK41" s="251"/>
      <c r="AL41" s="65"/>
      <c r="AM41" s="65"/>
      <c r="AN41" s="232"/>
      <c r="AO41" s="30"/>
      <c r="AP41" s="21"/>
      <c r="AQ41" s="21"/>
      <c r="AR41" s="21"/>
      <c r="AS41" s="21"/>
    </row>
    <row r="42" spans="1:45" s="18" customFormat="1" ht="15" customHeight="1">
      <c r="A42" s="782"/>
      <c r="B42" s="784"/>
      <c r="C42" s="206"/>
      <c r="D42" s="206"/>
      <c r="E42" s="215"/>
      <c r="F42" s="227"/>
      <c r="G42" s="135"/>
      <c r="H42" s="96"/>
      <c r="I42" s="227"/>
      <c r="J42" s="135"/>
      <c r="K42" s="96"/>
      <c r="L42" s="227"/>
      <c r="M42" s="135"/>
      <c r="N42" s="215"/>
      <c r="O42" s="761"/>
      <c r="P42" s="762"/>
      <c r="S42" s="18" t="s">
        <v>817</v>
      </c>
      <c r="U42" s="125"/>
      <c r="V42" s="63"/>
      <c r="W42" s="248"/>
      <c r="X42" s="60"/>
      <c r="Y42" s="248"/>
      <c r="Z42" s="60"/>
      <c r="AA42" s="248"/>
      <c r="AB42" s="60"/>
      <c r="AC42" s="248"/>
      <c r="AD42" s="60"/>
      <c r="AE42" s="248"/>
      <c r="AF42" s="60"/>
      <c r="AG42" s="248"/>
      <c r="AH42" s="60"/>
      <c r="AI42" s="248"/>
      <c r="AJ42" s="60"/>
      <c r="AK42" s="248"/>
      <c r="AL42" s="65"/>
      <c r="AM42" s="65"/>
      <c r="AN42" s="232"/>
      <c r="AO42" s="30"/>
      <c r="AP42" s="21"/>
      <c r="AQ42" s="21"/>
      <c r="AR42" s="21"/>
      <c r="AS42" s="21"/>
    </row>
    <row r="43" spans="1:45" s="18" customFormat="1" ht="15" customHeight="1">
      <c r="A43" s="782"/>
      <c r="B43" s="784"/>
      <c r="C43" s="206"/>
      <c r="D43" s="206"/>
      <c r="E43" s="215"/>
      <c r="F43" s="227"/>
      <c r="G43" s="135"/>
      <c r="H43" s="96"/>
      <c r="I43" s="227"/>
      <c r="J43" s="135"/>
      <c r="K43" s="96"/>
      <c r="L43" s="227"/>
      <c r="M43" s="135"/>
      <c r="N43" s="215"/>
      <c r="O43" s="753" t="s">
        <v>878</v>
      </c>
      <c r="P43" s="765"/>
      <c r="S43" s="18" t="s">
        <v>818</v>
      </c>
      <c r="U43" s="125"/>
      <c r="V43" s="63"/>
      <c r="W43" s="83"/>
      <c r="X43" s="245"/>
      <c r="Y43" s="83"/>
      <c r="Z43" s="245"/>
      <c r="AA43" s="83"/>
      <c r="AB43" s="245"/>
      <c r="AC43" s="83"/>
      <c r="AD43" s="245"/>
      <c r="AE43" s="83"/>
      <c r="AF43" s="245"/>
      <c r="AG43" s="83"/>
      <c r="AH43" s="245"/>
      <c r="AI43" s="83"/>
      <c r="AJ43" s="245"/>
      <c r="AK43" s="83"/>
      <c r="AL43" s="246"/>
      <c r="AM43" s="65"/>
      <c r="AN43" s="239"/>
      <c r="AO43" s="30"/>
      <c r="AP43" s="21"/>
      <c r="AQ43" s="21"/>
      <c r="AR43" s="21"/>
      <c r="AS43" s="21"/>
    </row>
    <row r="44" spans="1:45" s="18" customFormat="1" ht="15" customHeight="1">
      <c r="A44" s="782"/>
      <c r="B44" s="784"/>
      <c r="C44" s="206"/>
      <c r="D44" s="206"/>
      <c r="E44" s="215"/>
      <c r="F44" s="227"/>
      <c r="G44" s="135"/>
      <c r="H44" s="96"/>
      <c r="I44" s="227"/>
      <c r="J44" s="135"/>
      <c r="K44" s="96"/>
      <c r="L44" s="227"/>
      <c r="M44" s="135"/>
      <c r="N44" s="215"/>
      <c r="O44" s="764">
        <f>IF($B$5="","",$B$5)</f>
      </c>
      <c r="P44" s="790" t="s">
        <v>110</v>
      </c>
      <c r="S44" s="18" t="s">
        <v>819</v>
      </c>
      <c r="U44" s="125"/>
      <c r="V44" s="63"/>
      <c r="W44" s="123"/>
      <c r="X44" s="65"/>
      <c r="Y44" s="123"/>
      <c r="Z44" s="65"/>
      <c r="AA44" s="123"/>
      <c r="AB44" s="65"/>
      <c r="AC44" s="123"/>
      <c r="AD44" s="65"/>
      <c r="AE44" s="123"/>
      <c r="AF44" s="65"/>
      <c r="AG44" s="123"/>
      <c r="AH44" s="65"/>
      <c r="AI44" s="123"/>
      <c r="AJ44" s="65"/>
      <c r="AK44" s="123"/>
      <c r="AL44" s="65"/>
      <c r="AM44" s="65"/>
      <c r="AN44" s="239"/>
      <c r="AO44" s="30"/>
      <c r="AP44" s="21"/>
      <c r="AQ44" s="21"/>
      <c r="AR44" s="21"/>
      <c r="AS44" s="21"/>
    </row>
    <row r="45" spans="1:45" s="18" customFormat="1" ht="15" customHeight="1">
      <c r="A45" s="782"/>
      <c r="B45" s="784"/>
      <c r="C45" s="206"/>
      <c r="D45" s="206"/>
      <c r="E45" s="215"/>
      <c r="F45" s="227"/>
      <c r="G45" s="135"/>
      <c r="H45" s="96"/>
      <c r="I45" s="227"/>
      <c r="J45" s="135"/>
      <c r="K45" s="96"/>
      <c r="L45" s="227"/>
      <c r="M45" s="135"/>
      <c r="N45" s="215"/>
      <c r="O45" s="753" t="s">
        <v>879</v>
      </c>
      <c r="P45" s="765"/>
      <c r="S45" s="18" t="s">
        <v>820</v>
      </c>
      <c r="U45" s="125"/>
      <c r="V45" s="63"/>
      <c r="W45" s="247"/>
      <c r="X45" s="65"/>
      <c r="Y45" s="247"/>
      <c r="Z45" s="65"/>
      <c r="AA45" s="247"/>
      <c r="AB45" s="65"/>
      <c r="AC45" s="247"/>
      <c r="AD45" s="65"/>
      <c r="AE45" s="247"/>
      <c r="AF45" s="65"/>
      <c r="AG45" s="247"/>
      <c r="AH45" s="65"/>
      <c r="AI45" s="247"/>
      <c r="AJ45" s="65"/>
      <c r="AK45" s="247"/>
      <c r="AL45" s="65"/>
      <c r="AM45" s="65"/>
      <c r="AN45" s="239"/>
      <c r="AO45" s="30"/>
      <c r="AP45" s="21"/>
      <c r="AQ45" s="21"/>
      <c r="AR45" s="21"/>
      <c r="AS45" s="21"/>
    </row>
    <row r="46" spans="1:45" s="18" customFormat="1" ht="15" customHeight="1" thickBot="1">
      <c r="A46" s="782"/>
      <c r="B46" s="784"/>
      <c r="C46" s="207"/>
      <c r="D46" s="207"/>
      <c r="E46" s="216"/>
      <c r="F46" s="228"/>
      <c r="G46" s="212"/>
      <c r="H46" s="98"/>
      <c r="I46" s="228"/>
      <c r="J46" s="212"/>
      <c r="K46" s="98"/>
      <c r="L46" s="228"/>
      <c r="M46" s="212"/>
      <c r="N46" s="216"/>
      <c r="O46" s="768">
        <f>IF($B$6="","",$B$6)</f>
      </c>
      <c r="P46" s="790" t="s">
        <v>110</v>
      </c>
      <c r="S46" s="18" t="s">
        <v>821</v>
      </c>
      <c r="U46" s="125"/>
      <c r="V46" s="63"/>
      <c r="W46" s="251"/>
      <c r="X46" s="60"/>
      <c r="Y46" s="251"/>
      <c r="Z46" s="60"/>
      <c r="AA46" s="251"/>
      <c r="AB46" s="60"/>
      <c r="AC46" s="251"/>
      <c r="AD46" s="60"/>
      <c r="AE46" s="251"/>
      <c r="AF46" s="60"/>
      <c r="AG46" s="251"/>
      <c r="AH46" s="60"/>
      <c r="AI46" s="251"/>
      <c r="AJ46" s="60"/>
      <c r="AK46" s="251"/>
      <c r="AL46" s="65"/>
      <c r="AM46" s="65"/>
      <c r="AN46" s="239"/>
      <c r="AO46" s="30"/>
      <c r="AP46" s="21"/>
      <c r="AQ46" s="21"/>
      <c r="AR46" s="21"/>
      <c r="AS46" s="21"/>
    </row>
    <row r="47" spans="1:45" s="18" customFormat="1" ht="15" customHeight="1">
      <c r="A47" s="766" t="s">
        <v>825</v>
      </c>
      <c r="B47" s="785" t="s">
        <v>856</v>
      </c>
      <c r="C47" s="1011"/>
      <c r="D47" s="1012"/>
      <c r="E47" s="1013"/>
      <c r="F47" s="1014"/>
      <c r="G47" s="1012"/>
      <c r="H47" s="1012"/>
      <c r="I47" s="1014"/>
      <c r="J47" s="1012"/>
      <c r="K47" s="1012"/>
      <c r="L47" s="1014"/>
      <c r="M47" s="1012"/>
      <c r="N47" s="1013"/>
      <c r="O47" s="777"/>
      <c r="P47" s="947"/>
      <c r="Q47" s="83"/>
      <c r="R47" s="245"/>
      <c r="S47" s="18" t="s">
        <v>823</v>
      </c>
      <c r="U47" s="125"/>
      <c r="V47" s="63"/>
      <c r="W47" s="248"/>
      <c r="X47" s="60"/>
      <c r="Y47" s="248"/>
      <c r="Z47" s="60"/>
      <c r="AA47" s="248"/>
      <c r="AB47" s="60"/>
      <c r="AC47" s="248"/>
      <c r="AD47" s="60"/>
      <c r="AE47" s="248"/>
      <c r="AF47" s="60"/>
      <c r="AG47" s="248"/>
      <c r="AH47" s="60"/>
      <c r="AI47" s="248"/>
      <c r="AJ47" s="60"/>
      <c r="AK47" s="248"/>
      <c r="AL47" s="65"/>
      <c r="AM47" s="65"/>
      <c r="AN47" s="239"/>
      <c r="AO47" s="30"/>
      <c r="AP47" s="21"/>
      <c r="AQ47" s="21"/>
      <c r="AR47" s="21"/>
      <c r="AS47" s="21"/>
    </row>
    <row r="48" spans="1:45" s="18" customFormat="1" ht="15" customHeight="1" thickBot="1">
      <c r="A48" s="767" t="s">
        <v>824</v>
      </c>
      <c r="B48" s="786" t="s">
        <v>110</v>
      </c>
      <c r="C48" s="254"/>
      <c r="D48" s="994"/>
      <c r="E48" s="256"/>
      <c r="F48" s="257"/>
      <c r="G48" s="255"/>
      <c r="H48" s="258"/>
      <c r="I48" s="257"/>
      <c r="J48" s="255"/>
      <c r="K48" s="258"/>
      <c r="L48" s="257"/>
      <c r="M48" s="255"/>
      <c r="N48" s="256"/>
      <c r="O48" s="753" t="s">
        <v>797</v>
      </c>
      <c r="P48" s="765"/>
      <c r="Q48" s="100"/>
      <c r="R48" s="60"/>
      <c r="U48" s="125"/>
      <c r="V48" s="63"/>
      <c r="W48" s="83"/>
      <c r="X48" s="245"/>
      <c r="Y48" s="83"/>
      <c r="Z48" s="245"/>
      <c r="AA48" s="83"/>
      <c r="AB48" s="245"/>
      <c r="AC48" s="83"/>
      <c r="AD48" s="245"/>
      <c r="AE48" s="83"/>
      <c r="AF48" s="245"/>
      <c r="AG48" s="83"/>
      <c r="AH48" s="245"/>
      <c r="AI48" s="83"/>
      <c r="AJ48" s="245"/>
      <c r="AK48" s="83"/>
      <c r="AL48" s="246"/>
      <c r="AM48" s="65"/>
      <c r="AN48" s="239"/>
      <c r="AO48" s="30"/>
      <c r="AP48" s="21"/>
      <c r="AQ48" s="21"/>
      <c r="AR48" s="21"/>
      <c r="AS48" s="21"/>
    </row>
    <row r="49" spans="1:45" s="18" customFormat="1" ht="15" customHeight="1">
      <c r="A49" s="754" t="s">
        <v>54</v>
      </c>
      <c r="B49" s="769"/>
      <c r="C49" s="770"/>
      <c r="D49" s="771"/>
      <c r="E49" s="772" t="s">
        <v>884</v>
      </c>
      <c r="F49" s="773"/>
      <c r="G49" s="771"/>
      <c r="H49" s="772" t="s">
        <v>884</v>
      </c>
      <c r="I49" s="773"/>
      <c r="J49" s="771"/>
      <c r="K49" s="772" t="s">
        <v>884</v>
      </c>
      <c r="L49" s="773"/>
      <c r="M49" s="771"/>
      <c r="N49" s="772" t="s">
        <v>884</v>
      </c>
      <c r="O49" s="774">
        <f>IF($B$7="","",$B$7)</f>
      </c>
      <c r="P49" s="790" t="s">
        <v>857</v>
      </c>
      <c r="Q49" s="251"/>
      <c r="R49" s="71"/>
      <c r="U49" s="125"/>
      <c r="V49" s="63"/>
      <c r="W49" s="123"/>
      <c r="X49" s="65"/>
      <c r="Y49" s="123"/>
      <c r="Z49" s="65"/>
      <c r="AA49" s="123"/>
      <c r="AB49" s="65"/>
      <c r="AC49" s="123"/>
      <c r="AD49" s="65"/>
      <c r="AE49" s="123"/>
      <c r="AF49" s="65"/>
      <c r="AG49" s="123"/>
      <c r="AH49" s="65"/>
      <c r="AI49" s="123"/>
      <c r="AJ49" s="65"/>
      <c r="AK49" s="123"/>
      <c r="AL49" s="65"/>
      <c r="AM49" s="65"/>
      <c r="AN49" s="239"/>
      <c r="AO49" s="30"/>
      <c r="AP49" s="21"/>
      <c r="AQ49" s="21"/>
      <c r="AR49" s="21"/>
      <c r="AS49" s="21"/>
    </row>
    <row r="50" spans="1:45" s="18" customFormat="1" ht="15" customHeight="1">
      <c r="A50" s="754" t="s">
        <v>826</v>
      </c>
      <c r="B50" s="783" t="s">
        <v>857</v>
      </c>
      <c r="C50" s="208"/>
      <c r="D50" s="208"/>
      <c r="E50" s="219"/>
      <c r="F50" s="996"/>
      <c r="G50" s="1002"/>
      <c r="H50" s="1005"/>
      <c r="I50" s="996"/>
      <c r="J50" s="1002"/>
      <c r="K50" s="1005"/>
      <c r="L50" s="996"/>
      <c r="M50" s="1002"/>
      <c r="N50" s="999"/>
      <c r="O50" s="753" t="s">
        <v>798</v>
      </c>
      <c r="P50" s="765"/>
      <c r="Q50" s="251"/>
      <c r="R50" s="60"/>
      <c r="U50" s="125"/>
      <c r="V50" s="63"/>
      <c r="W50" s="247"/>
      <c r="X50" s="65"/>
      <c r="Y50" s="247"/>
      <c r="Z50" s="65"/>
      <c r="AA50" s="247"/>
      <c r="AB50" s="65"/>
      <c r="AC50" s="247"/>
      <c r="AD50" s="65"/>
      <c r="AE50" s="247"/>
      <c r="AF50" s="65"/>
      <c r="AG50" s="247"/>
      <c r="AH50" s="65"/>
      <c r="AI50" s="247"/>
      <c r="AJ50" s="65"/>
      <c r="AK50" s="247"/>
      <c r="AL50" s="65"/>
      <c r="AM50" s="65"/>
      <c r="AN50" s="239"/>
      <c r="AO50" s="30"/>
      <c r="AP50" s="21"/>
      <c r="AQ50" s="21"/>
      <c r="AR50" s="21"/>
      <c r="AS50" s="21"/>
    </row>
    <row r="51" spans="1:45" s="18" customFormat="1" ht="15" customHeight="1">
      <c r="A51" s="754" t="s">
        <v>841</v>
      </c>
      <c r="B51" s="253"/>
      <c r="C51" s="209"/>
      <c r="D51" s="995"/>
      <c r="E51" s="220"/>
      <c r="F51" s="997"/>
      <c r="G51" s="1003"/>
      <c r="H51" s="1006"/>
      <c r="I51" s="997"/>
      <c r="J51" s="1003"/>
      <c r="K51" s="1006"/>
      <c r="L51" s="997"/>
      <c r="M51" s="1003"/>
      <c r="N51" s="1000"/>
      <c r="O51" s="774">
        <f>IF($B$8="","",$B$8)</f>
      </c>
      <c r="P51" s="790" t="s">
        <v>857</v>
      </c>
      <c r="Q51" s="248"/>
      <c r="R51" s="60"/>
      <c r="U51" s="125"/>
      <c r="V51" s="63"/>
      <c r="W51" s="251"/>
      <c r="X51" s="60"/>
      <c r="Y51" s="251"/>
      <c r="Z51" s="60"/>
      <c r="AA51" s="251"/>
      <c r="AB51" s="60"/>
      <c r="AC51" s="251"/>
      <c r="AD51" s="60"/>
      <c r="AE51" s="251"/>
      <c r="AF51" s="60"/>
      <c r="AG51" s="251"/>
      <c r="AH51" s="60"/>
      <c r="AI51" s="251"/>
      <c r="AJ51" s="60"/>
      <c r="AK51" s="251"/>
      <c r="AL51" s="65"/>
      <c r="AM51" s="65"/>
      <c r="AN51" s="239"/>
      <c r="AO51" s="30"/>
      <c r="AP51" s="21"/>
      <c r="AQ51" s="21"/>
      <c r="AR51" s="21"/>
      <c r="AS51" s="21"/>
    </row>
    <row r="52" spans="1:45" s="18" customFormat="1" ht="15" customHeight="1">
      <c r="A52" s="775" t="s">
        <v>843</v>
      </c>
      <c r="B52" s="787" t="s">
        <v>858</v>
      </c>
      <c r="C52" s="210"/>
      <c r="D52" s="210"/>
      <c r="E52" s="221"/>
      <c r="F52" s="998"/>
      <c r="G52" s="1004"/>
      <c r="H52" s="281"/>
      <c r="I52" s="998"/>
      <c r="J52" s="1004"/>
      <c r="K52" s="281"/>
      <c r="L52" s="998"/>
      <c r="M52" s="1004"/>
      <c r="N52" s="1001"/>
      <c r="O52" s="948" t="s">
        <v>1227</v>
      </c>
      <c r="P52" s="19"/>
      <c r="Q52" s="245"/>
      <c r="R52" s="245"/>
      <c r="U52" s="125"/>
      <c r="V52" s="63"/>
      <c r="W52" s="248"/>
      <c r="X52" s="71"/>
      <c r="Y52" s="248"/>
      <c r="Z52" s="71"/>
      <c r="AA52" s="248"/>
      <c r="AB52" s="71"/>
      <c r="AC52" s="248"/>
      <c r="AD52" s="71"/>
      <c r="AE52" s="248"/>
      <c r="AF52" s="71"/>
      <c r="AG52" s="248"/>
      <c r="AH52" s="71"/>
      <c r="AI52" s="248"/>
      <c r="AJ52" s="71"/>
      <c r="AK52" s="248"/>
      <c r="AL52" s="65"/>
      <c r="AM52" s="65"/>
      <c r="AN52" s="239"/>
      <c r="AO52" s="30"/>
      <c r="AP52" s="21"/>
      <c r="AQ52" s="21"/>
      <c r="AR52" s="21"/>
      <c r="AS52" s="21"/>
    </row>
    <row r="53" spans="1:45" s="18" customFormat="1" ht="15" customHeight="1">
      <c r="A53" s="754"/>
      <c r="B53" s="941"/>
      <c r="C53" s="119"/>
      <c r="D53" s="656"/>
      <c r="E53" s="121"/>
      <c r="F53" s="229"/>
      <c r="G53" s="656"/>
      <c r="H53" s="776"/>
      <c r="I53" s="229"/>
      <c r="J53" s="656"/>
      <c r="K53" s="776"/>
      <c r="L53" s="229"/>
      <c r="M53" s="656"/>
      <c r="N53" s="121"/>
      <c r="O53" s="949" t="s">
        <v>1228</v>
      </c>
      <c r="P53" s="950"/>
      <c r="Q53" s="123"/>
      <c r="R53" s="65"/>
      <c r="U53" s="125"/>
      <c r="V53" s="63"/>
      <c r="W53" s="83"/>
      <c r="X53" s="245"/>
      <c r="Y53" s="83"/>
      <c r="Z53" s="245"/>
      <c r="AA53" s="83"/>
      <c r="AB53" s="245"/>
      <c r="AC53" s="83"/>
      <c r="AD53" s="245"/>
      <c r="AE53" s="83"/>
      <c r="AF53" s="245"/>
      <c r="AG53" s="83"/>
      <c r="AH53" s="245"/>
      <c r="AI53" s="83"/>
      <c r="AJ53" s="245"/>
      <c r="AK53" s="83"/>
      <c r="AL53" s="246"/>
      <c r="AM53" s="65"/>
      <c r="AN53" s="239"/>
      <c r="AO53" s="30"/>
      <c r="AP53" s="21"/>
      <c r="AQ53" s="21"/>
      <c r="AR53" s="21"/>
      <c r="AS53" s="21"/>
    </row>
    <row r="54" spans="1:45" s="18" customFormat="1" ht="15" customHeight="1">
      <c r="A54" s="754" t="s">
        <v>53</v>
      </c>
      <c r="B54" s="942"/>
      <c r="C54" s="120"/>
      <c r="D54" s="656"/>
      <c r="E54" s="772" t="s">
        <v>884</v>
      </c>
      <c r="F54" s="773"/>
      <c r="G54" s="771"/>
      <c r="H54" s="772" t="s">
        <v>884</v>
      </c>
      <c r="I54" s="773"/>
      <c r="J54" s="771"/>
      <c r="K54" s="772" t="s">
        <v>884</v>
      </c>
      <c r="L54" s="773"/>
      <c r="M54" s="771"/>
      <c r="N54" s="772" t="s">
        <v>884</v>
      </c>
      <c r="O54" s="951" t="s">
        <v>1229</v>
      </c>
      <c r="P54" s="952"/>
      <c r="Q54" s="247"/>
      <c r="R54" s="65"/>
      <c r="S54" s="8"/>
      <c r="T54" s="8"/>
      <c r="U54" s="60"/>
      <c r="V54" s="63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5"/>
      <c r="AM54" s="65"/>
      <c r="AN54" s="65"/>
      <c r="AO54" s="30"/>
      <c r="AP54" s="21"/>
      <c r="AQ54" s="21"/>
      <c r="AR54" s="21"/>
      <c r="AS54" s="21"/>
    </row>
    <row r="55" spans="1:45" s="18" customFormat="1" ht="12.75">
      <c r="A55" s="754" t="s">
        <v>826</v>
      </c>
      <c r="B55" s="783" t="s">
        <v>857</v>
      </c>
      <c r="C55" s="1007"/>
      <c r="D55" s="1002"/>
      <c r="E55" s="999"/>
      <c r="F55" s="1015"/>
      <c r="G55" s="1002"/>
      <c r="H55" s="999"/>
      <c r="I55" s="1015"/>
      <c r="J55" s="1002"/>
      <c r="K55" s="999"/>
      <c r="L55" s="1015"/>
      <c r="M55" s="1002"/>
      <c r="N55" s="999"/>
      <c r="O55" s="953"/>
      <c r="P55" s="954"/>
      <c r="S55" s="71"/>
      <c r="T55" s="63"/>
      <c r="U55" s="60"/>
      <c r="V55" s="63"/>
      <c r="W55" s="60"/>
      <c r="X55" s="60"/>
      <c r="Y55" s="60"/>
      <c r="Z55" s="60"/>
      <c r="AA55" s="60"/>
      <c r="AB55" s="60"/>
      <c r="AC55" s="252"/>
      <c r="AD55" s="60"/>
      <c r="AE55" s="60"/>
      <c r="AF55" s="60"/>
      <c r="AG55" s="60"/>
      <c r="AH55" s="60"/>
      <c r="AI55" s="71"/>
      <c r="AJ55" s="71"/>
      <c r="AK55" s="71"/>
      <c r="AL55" s="71"/>
      <c r="AM55" s="63"/>
      <c r="AN55" s="60"/>
      <c r="AO55" s="30"/>
      <c r="AP55" s="21"/>
      <c r="AQ55" s="21"/>
      <c r="AR55" s="21"/>
      <c r="AS55" s="21"/>
    </row>
    <row r="56" spans="1:45" s="18" customFormat="1" ht="12.75">
      <c r="A56" s="754" t="s">
        <v>841</v>
      </c>
      <c r="B56" s="253"/>
      <c r="C56" s="1016"/>
      <c r="D56" s="1003"/>
      <c r="E56" s="1000"/>
      <c r="F56" s="997"/>
      <c r="G56" s="1003"/>
      <c r="H56" s="1000"/>
      <c r="I56" s="997"/>
      <c r="J56" s="1003"/>
      <c r="K56" s="1000"/>
      <c r="L56" s="997"/>
      <c r="M56" s="1003"/>
      <c r="N56" s="1000"/>
      <c r="O56" s="948" t="s">
        <v>1230</v>
      </c>
      <c r="P56" s="19"/>
      <c r="S56" s="8"/>
      <c r="T56" s="8"/>
      <c r="U56" s="8"/>
      <c r="V56" s="8"/>
      <c r="W56" s="20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61"/>
      <c r="AN56" s="61"/>
      <c r="AO56" s="21"/>
      <c r="AP56" s="21"/>
      <c r="AQ56" s="21"/>
      <c r="AR56" s="21"/>
      <c r="AS56" s="21"/>
    </row>
    <row r="57" spans="1:45" s="18" customFormat="1" ht="12.75">
      <c r="A57" s="775" t="s">
        <v>843</v>
      </c>
      <c r="B57" s="787" t="s">
        <v>859</v>
      </c>
      <c r="C57" s="1017"/>
      <c r="D57" s="1004"/>
      <c r="E57" s="1001"/>
      <c r="F57" s="998"/>
      <c r="G57" s="1004"/>
      <c r="H57" s="1001"/>
      <c r="I57" s="998"/>
      <c r="J57" s="1004"/>
      <c r="K57" s="1001"/>
      <c r="L57" s="998"/>
      <c r="M57" s="1004"/>
      <c r="N57" s="1001"/>
      <c r="O57" s="949" t="s">
        <v>1231</v>
      </c>
      <c r="P57" s="165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61"/>
      <c r="AN57" s="61"/>
      <c r="AO57" s="21"/>
      <c r="AP57" s="21"/>
      <c r="AQ57" s="21"/>
      <c r="AR57" s="21"/>
      <c r="AS57" s="21"/>
    </row>
    <row r="58" spans="1:45" s="18" customFormat="1" ht="12.75">
      <c r="A58" s="754"/>
      <c r="B58" s="941"/>
      <c r="C58" s="119"/>
      <c r="D58" s="656"/>
      <c r="E58" s="121"/>
      <c r="F58" s="229"/>
      <c r="G58" s="656"/>
      <c r="H58" s="121"/>
      <c r="I58" s="229"/>
      <c r="J58" s="656"/>
      <c r="K58" s="121"/>
      <c r="L58" s="229"/>
      <c r="M58" s="656"/>
      <c r="N58" s="121"/>
      <c r="O58" s="955"/>
      <c r="P58" s="954"/>
      <c r="Q58" s="8"/>
      <c r="R58" s="8"/>
      <c r="S58" s="59"/>
      <c r="T58" s="59"/>
      <c r="U58" s="59"/>
      <c r="V58" s="60"/>
      <c r="W58" s="60"/>
      <c r="X58" s="231"/>
      <c r="Y58" s="60"/>
      <c r="Z58" s="231"/>
      <c r="AA58" s="60"/>
      <c r="AB58" s="231"/>
      <c r="AC58" s="60"/>
      <c r="AD58" s="231"/>
      <c r="AE58" s="60"/>
      <c r="AF58" s="231"/>
      <c r="AG58" s="60"/>
      <c r="AH58" s="231"/>
      <c r="AI58" s="60"/>
      <c r="AJ58" s="231"/>
      <c r="AK58" s="60"/>
      <c r="AL58" s="231"/>
      <c r="AM58" s="65"/>
      <c r="AN58" s="65"/>
      <c r="AO58" s="30"/>
      <c r="AP58" s="21"/>
      <c r="AQ58" s="21"/>
      <c r="AR58" s="21"/>
      <c r="AS58" s="21"/>
    </row>
    <row r="59" spans="1:45" s="18" customFormat="1" ht="12.75">
      <c r="A59" s="754" t="s">
        <v>52</v>
      </c>
      <c r="B59" s="942"/>
      <c r="C59" s="120"/>
      <c r="D59" s="656"/>
      <c r="E59" s="122" t="s">
        <v>885</v>
      </c>
      <c r="F59" s="230"/>
      <c r="G59" s="656"/>
      <c r="H59" s="122" t="s">
        <v>885</v>
      </c>
      <c r="I59" s="230"/>
      <c r="J59" s="656"/>
      <c r="K59" s="122" t="s">
        <v>885</v>
      </c>
      <c r="L59" s="230"/>
      <c r="M59" s="656"/>
      <c r="N59" s="122" t="s">
        <v>885</v>
      </c>
      <c r="O59" s="948" t="s">
        <v>1232</v>
      </c>
      <c r="P59" s="19"/>
      <c r="Q59" s="71"/>
      <c r="R59" s="71"/>
      <c r="S59" s="233"/>
      <c r="T59" s="59"/>
      <c r="U59" s="59"/>
      <c r="V59" s="60"/>
      <c r="W59" s="60"/>
      <c r="X59" s="232"/>
      <c r="Y59" s="60"/>
      <c r="Z59" s="232"/>
      <c r="AA59" s="60"/>
      <c r="AB59" s="232"/>
      <c r="AC59" s="60"/>
      <c r="AD59" s="232"/>
      <c r="AE59" s="60"/>
      <c r="AF59" s="232"/>
      <c r="AG59" s="60"/>
      <c r="AH59" s="232"/>
      <c r="AI59" s="60"/>
      <c r="AJ59" s="232"/>
      <c r="AK59" s="60"/>
      <c r="AL59" s="232"/>
      <c r="AM59" s="234"/>
      <c r="AN59" s="65"/>
      <c r="AO59" s="30"/>
      <c r="AP59" s="21"/>
      <c r="AQ59" s="21"/>
      <c r="AR59" s="21"/>
      <c r="AS59" s="21"/>
    </row>
    <row r="60" spans="1:45" s="18" customFormat="1" ht="12.75">
      <c r="A60" s="754" t="s">
        <v>826</v>
      </c>
      <c r="B60" s="783" t="s">
        <v>857</v>
      </c>
      <c r="C60" s="1007"/>
      <c r="D60" s="1008"/>
      <c r="E60" s="999"/>
      <c r="F60" s="996"/>
      <c r="G60" s="1002"/>
      <c r="H60" s="999"/>
      <c r="I60" s="996"/>
      <c r="J60" s="1002"/>
      <c r="K60" s="999"/>
      <c r="L60" s="996"/>
      <c r="M60" s="1002"/>
      <c r="N60" s="999"/>
      <c r="O60" s="956"/>
      <c r="P60" s="957"/>
      <c r="Q60" s="8"/>
      <c r="R60" s="8"/>
      <c r="S60" s="233"/>
      <c r="T60" s="59"/>
      <c r="U60" s="59"/>
      <c r="V60" s="60"/>
      <c r="W60" s="60"/>
      <c r="X60" s="235"/>
      <c r="Y60" s="60"/>
      <c r="Z60" s="235"/>
      <c r="AA60" s="60"/>
      <c r="AB60" s="235"/>
      <c r="AC60" s="60"/>
      <c r="AD60" s="235"/>
      <c r="AE60" s="60"/>
      <c r="AF60" s="235"/>
      <c r="AG60" s="60"/>
      <c r="AH60" s="235"/>
      <c r="AI60" s="60"/>
      <c r="AJ60" s="235"/>
      <c r="AK60" s="60"/>
      <c r="AL60" s="235"/>
      <c r="AM60" s="234"/>
      <c r="AN60" s="65"/>
      <c r="AO60" s="30"/>
      <c r="AP60" s="21"/>
      <c r="AQ60" s="21"/>
      <c r="AR60" s="21"/>
      <c r="AS60" s="21"/>
    </row>
    <row r="61" spans="1:45" s="18" customFormat="1" ht="12.75">
      <c r="A61" s="754" t="s">
        <v>841</v>
      </c>
      <c r="B61" s="253"/>
      <c r="C61" s="209"/>
      <c r="D61" s="1009"/>
      <c r="E61" s="220"/>
      <c r="F61" s="997"/>
      <c r="G61" s="1003"/>
      <c r="H61" s="1000"/>
      <c r="I61" s="997"/>
      <c r="J61" s="1003"/>
      <c r="K61" s="1000"/>
      <c r="L61" s="997"/>
      <c r="M61" s="1003"/>
      <c r="N61" s="1000"/>
      <c r="O61" s="958" t="s">
        <v>883</v>
      </c>
      <c r="P61" s="959"/>
      <c r="Q61" s="8"/>
      <c r="R61" s="8"/>
      <c r="S61" s="101"/>
      <c r="T61" s="101"/>
      <c r="U61" s="101"/>
      <c r="V61" s="60"/>
      <c r="W61" s="60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30"/>
      <c r="AP61" s="21"/>
      <c r="AQ61" s="21"/>
      <c r="AR61" s="21"/>
      <c r="AS61" s="21"/>
    </row>
    <row r="62" spans="1:45" s="18" customFormat="1" ht="12.75">
      <c r="A62" s="775" t="s">
        <v>843</v>
      </c>
      <c r="B62" s="787" t="s">
        <v>859</v>
      </c>
      <c r="C62" s="210"/>
      <c r="D62" s="210"/>
      <c r="E62" s="221"/>
      <c r="F62" s="998"/>
      <c r="G62" s="1004"/>
      <c r="H62" s="1001"/>
      <c r="I62" s="998"/>
      <c r="J62" s="1004"/>
      <c r="K62" s="1001"/>
      <c r="L62" s="998"/>
      <c r="M62" s="1004"/>
      <c r="N62" s="1001"/>
      <c r="O62" s="960">
        <f>IF($H$11="","",$H$11)</f>
      </c>
      <c r="P62" s="759">
        <f>IF(Input!$B$6="","",IF(Input!$B$6="E","Degree F",IF(Input!$B$6="M","Degree C")))</f>
      </c>
      <c r="Q62" s="59"/>
      <c r="R62" s="231"/>
      <c r="S62" s="59"/>
      <c r="T62" s="59"/>
      <c r="U62" s="59"/>
      <c r="V62" s="60"/>
      <c r="W62" s="60"/>
      <c r="X62" s="193"/>
      <c r="Y62" s="60"/>
      <c r="Z62" s="193"/>
      <c r="AA62" s="60"/>
      <c r="AB62" s="193"/>
      <c r="AC62" s="60"/>
      <c r="AD62" s="193"/>
      <c r="AE62" s="60"/>
      <c r="AF62" s="193"/>
      <c r="AG62" s="60"/>
      <c r="AH62" s="193"/>
      <c r="AI62" s="60"/>
      <c r="AJ62" s="193"/>
      <c r="AK62" s="60"/>
      <c r="AL62" s="193"/>
      <c r="AM62" s="234"/>
      <c r="AN62" s="65"/>
      <c r="AO62" s="30"/>
      <c r="AP62" s="21"/>
      <c r="AQ62" s="21"/>
      <c r="AR62" s="21"/>
      <c r="AS62" s="21"/>
    </row>
    <row r="63" spans="1:45" s="18" customFormat="1" ht="12.75">
      <c r="A63" s="706"/>
      <c r="B63" s="656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56"/>
      <c r="P63" s="656"/>
      <c r="Q63" s="59"/>
      <c r="R63" s="232"/>
      <c r="S63" s="59"/>
      <c r="T63" s="59"/>
      <c r="U63" s="59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5"/>
      <c r="AN63" s="65"/>
      <c r="AO63" s="30"/>
      <c r="AP63" s="21"/>
      <c r="AQ63" s="21"/>
      <c r="AR63" s="21"/>
      <c r="AS63" s="21"/>
    </row>
    <row r="64" spans="1:45" s="18" customFormat="1" ht="12.75">
      <c r="A64" s="706" t="s">
        <v>842</v>
      </c>
      <c r="B64" s="656"/>
      <c r="C64" s="124"/>
      <c r="D64" s="788"/>
      <c r="E64" s="788"/>
      <c r="F64" s="788"/>
      <c r="G64" s="788"/>
      <c r="H64" s="788"/>
      <c r="I64" s="788"/>
      <c r="J64" s="789"/>
      <c r="K64" s="788"/>
      <c r="L64" s="788"/>
      <c r="M64" s="788"/>
      <c r="N64" s="788"/>
      <c r="O64" s="788"/>
      <c r="P64" s="788"/>
      <c r="Q64" s="59"/>
      <c r="R64" s="235"/>
      <c r="S64" s="59"/>
      <c r="T64" s="59"/>
      <c r="U64" s="59"/>
      <c r="V64" s="60"/>
      <c r="W64" s="60"/>
      <c r="X64" s="237"/>
      <c r="Y64" s="60"/>
      <c r="Z64" s="237"/>
      <c r="AA64" s="60"/>
      <c r="AB64" s="237"/>
      <c r="AC64" s="60"/>
      <c r="AD64" s="237"/>
      <c r="AE64" s="60"/>
      <c r="AF64" s="237"/>
      <c r="AG64" s="60"/>
      <c r="AH64" s="237"/>
      <c r="AI64" s="60"/>
      <c r="AJ64" s="237"/>
      <c r="AK64" s="60"/>
      <c r="AL64" s="237"/>
      <c r="AM64" s="65"/>
      <c r="AN64" s="65"/>
      <c r="AO64" s="30"/>
      <c r="AP64" s="21"/>
      <c r="AQ64" s="21"/>
      <c r="AR64" s="21"/>
      <c r="AS64" s="21"/>
    </row>
    <row r="65" spans="1:45" s="18" customFormat="1" ht="12.75">
      <c r="A65" s="61"/>
      <c r="B65" s="656"/>
      <c r="C65" s="320"/>
      <c r="D65" s="231"/>
      <c r="E65" s="239"/>
      <c r="F65" s="231"/>
      <c r="G65" s="239"/>
      <c r="H65" s="231"/>
      <c r="I65" s="239"/>
      <c r="J65" s="231"/>
      <c r="K65" s="239"/>
      <c r="L65" s="231"/>
      <c r="M65" s="239"/>
      <c r="N65" s="231"/>
      <c r="O65" s="656"/>
      <c r="P65" s="656"/>
      <c r="Q65" s="101"/>
      <c r="R65" s="101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5"/>
      <c r="AN65" s="65"/>
      <c r="AO65" s="30"/>
      <c r="AP65" s="21"/>
      <c r="AQ65" s="21"/>
      <c r="AR65" s="21"/>
      <c r="AS65" s="21"/>
    </row>
    <row r="66" spans="1:45" s="18" customFormat="1" ht="12.75">
      <c r="A66" s="458"/>
      <c r="B66" s="458"/>
      <c r="C66" s="458"/>
      <c r="D66" s="468"/>
      <c r="E66" s="468"/>
      <c r="F66" s="458"/>
      <c r="G66" s="656"/>
      <c r="H66" s="656"/>
      <c r="I66" s="656"/>
      <c r="J66" s="780"/>
      <c r="K66" s="239"/>
      <c r="L66" s="780"/>
      <c r="M66" s="533" t="s">
        <v>967</v>
      </c>
      <c r="N66" s="534">
        <f>+IF(Input!E14="","",Input!E14)</f>
      </c>
      <c r="O66" s="536"/>
      <c r="P66" s="656"/>
      <c r="Q66" s="59"/>
      <c r="R66" s="193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5"/>
      <c r="AN66" s="65"/>
      <c r="AO66" s="30"/>
      <c r="AP66" s="21"/>
      <c r="AQ66" s="21"/>
      <c r="AR66" s="21"/>
      <c r="AS66" s="21"/>
    </row>
    <row r="67" spans="1:45" s="18" customFormat="1" ht="12.75">
      <c r="A67" s="3"/>
      <c r="B67" s="3"/>
      <c r="C67"/>
      <c r="D67"/>
      <c r="E67"/>
      <c r="F67"/>
      <c r="G67"/>
      <c r="H67"/>
      <c r="I67"/>
      <c r="J67" s="59"/>
      <c r="K67" s="59"/>
      <c r="L67" s="59"/>
      <c r="M67" s="59"/>
      <c r="N67" s="59"/>
      <c r="Q67" s="59"/>
      <c r="R67" s="59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5"/>
      <c r="AN67" s="65"/>
      <c r="AO67" s="30"/>
      <c r="AP67" s="21"/>
      <c r="AQ67" s="21"/>
      <c r="AR67" s="21"/>
      <c r="AS67" s="21"/>
    </row>
    <row r="68" spans="1:45" s="18" customFormat="1" ht="12.75">
      <c r="A68" s="8"/>
      <c r="C68" s="63"/>
      <c r="D68" s="236"/>
      <c r="E68" s="59"/>
      <c r="F68" s="236"/>
      <c r="G68" s="59"/>
      <c r="H68" s="236"/>
      <c r="I68" s="59"/>
      <c r="J68" s="236"/>
      <c r="K68" s="59"/>
      <c r="L68" s="236"/>
      <c r="M68" s="59"/>
      <c r="N68" s="236"/>
      <c r="Q68" s="59"/>
      <c r="R68" s="236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5"/>
      <c r="AN68" s="65"/>
      <c r="AO68" s="30"/>
      <c r="AP68" s="21"/>
      <c r="AQ68" s="21"/>
      <c r="AR68" s="21"/>
      <c r="AS68" s="21"/>
    </row>
    <row r="69" spans="1:45" s="18" customFormat="1" ht="12.75">
      <c r="A69" s="8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5"/>
      <c r="AN69" s="65"/>
      <c r="AO69" s="30"/>
      <c r="AP69" s="21"/>
      <c r="AQ69" s="21"/>
      <c r="AR69" s="21"/>
      <c r="AS69" s="21"/>
    </row>
    <row r="70" spans="1:45" s="18" customFormat="1" ht="12.75">
      <c r="A70" s="8"/>
      <c r="C70" s="100"/>
      <c r="D70" s="100"/>
      <c r="E70" s="100"/>
      <c r="F70" s="100"/>
      <c r="G70" s="60"/>
      <c r="H70" s="100"/>
      <c r="I70" s="60"/>
      <c r="J70" s="60"/>
      <c r="K70" s="60"/>
      <c r="L70" s="60"/>
      <c r="M70" s="60"/>
      <c r="N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5"/>
      <c r="AN70" s="65"/>
      <c r="AO70" s="30"/>
      <c r="AP70" s="21"/>
      <c r="AQ70" s="21"/>
      <c r="AR70" s="21"/>
      <c r="AS70" s="21"/>
    </row>
    <row r="71" spans="1:45" s="18" customFormat="1" ht="12.75">
      <c r="A71" s="60"/>
      <c r="B71" s="125"/>
      <c r="C71" s="100"/>
      <c r="D71" s="100"/>
      <c r="E71" s="100"/>
      <c r="F71" s="100"/>
      <c r="G71" s="100"/>
      <c r="H71" s="100"/>
      <c r="I71" s="60"/>
      <c r="J71" s="100"/>
      <c r="K71" s="100"/>
      <c r="L71" s="100"/>
      <c r="M71" s="100"/>
      <c r="N71" s="10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5"/>
      <c r="AN71" s="65"/>
      <c r="AO71" s="30"/>
      <c r="AP71" s="21"/>
      <c r="AQ71" s="21"/>
      <c r="AR71" s="21"/>
      <c r="AS71" s="21"/>
    </row>
    <row r="72" spans="1:45" s="18" customFormat="1" ht="12.75">
      <c r="A72" s="60"/>
      <c r="B72" s="125"/>
      <c r="C72" s="100"/>
      <c r="D72" s="100"/>
      <c r="E72" s="100"/>
      <c r="F72" s="100"/>
      <c r="G72" s="100"/>
      <c r="H72" s="10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5"/>
      <c r="AN72" s="65"/>
      <c r="AO72" s="30"/>
      <c r="AP72" s="21"/>
      <c r="AQ72" s="21"/>
      <c r="AR72" s="21"/>
      <c r="AS72" s="21"/>
    </row>
    <row r="73" spans="1:45" s="18" customFormat="1" ht="12.75">
      <c r="A73" s="60"/>
      <c r="B73" s="125"/>
      <c r="C73" s="100"/>
      <c r="D73" s="100"/>
      <c r="E73" s="100"/>
      <c r="F73" s="100"/>
      <c r="G73" s="100"/>
      <c r="H73" s="10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5"/>
      <c r="AN73" s="65"/>
      <c r="AO73" s="30"/>
      <c r="AP73" s="21"/>
      <c r="AQ73" s="21"/>
      <c r="AR73" s="21"/>
      <c r="AS73" s="21"/>
    </row>
    <row r="74" spans="1:45" s="18" customFormat="1" ht="12.75">
      <c r="A74" s="60"/>
      <c r="B74" s="125"/>
      <c r="C74" s="100"/>
      <c r="D74" s="100"/>
      <c r="E74" s="100"/>
      <c r="F74" s="100"/>
      <c r="G74" s="100"/>
      <c r="H74" s="10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5"/>
      <c r="AN74" s="65"/>
      <c r="AO74" s="30"/>
      <c r="AP74" s="21"/>
      <c r="AQ74" s="21"/>
      <c r="AR74" s="21"/>
      <c r="AS74" s="21"/>
    </row>
    <row r="75" spans="1:45" s="18" customFormat="1" ht="12.75">
      <c r="A75" s="60"/>
      <c r="B75" s="125"/>
      <c r="C75" s="100"/>
      <c r="D75" s="100"/>
      <c r="E75" s="100"/>
      <c r="F75" s="100"/>
      <c r="G75" s="100"/>
      <c r="H75" s="10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61"/>
      <c r="AN75" s="61"/>
      <c r="AO75" s="21"/>
      <c r="AP75" s="21"/>
      <c r="AQ75" s="21"/>
      <c r="AR75" s="21"/>
      <c r="AS75" s="21"/>
    </row>
    <row r="76" spans="1:45" s="18" customFormat="1" ht="12.75">
      <c r="A76" s="60"/>
      <c r="B76" s="125"/>
      <c r="C76" s="100"/>
      <c r="D76" s="100"/>
      <c r="E76" s="100"/>
      <c r="F76" s="100"/>
      <c r="G76" s="100"/>
      <c r="H76" s="10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61"/>
      <c r="AN76" s="61"/>
      <c r="AO76" s="21"/>
      <c r="AP76" s="21"/>
      <c r="AQ76" s="21"/>
      <c r="AR76" s="21"/>
      <c r="AS76" s="21"/>
    </row>
    <row r="77" spans="1:45" s="18" customFormat="1" ht="12.75">
      <c r="A77" s="60"/>
      <c r="B77" s="125"/>
      <c r="C77" s="100"/>
      <c r="D77" s="100"/>
      <c r="E77" s="100"/>
      <c r="F77" s="100"/>
      <c r="G77" s="100"/>
      <c r="H77" s="103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61"/>
      <c r="AN77" s="61"/>
      <c r="AO77" s="21"/>
      <c r="AP77" s="21"/>
      <c r="AQ77" s="21"/>
      <c r="AR77" s="21"/>
      <c r="AS77" s="21"/>
    </row>
    <row r="78" spans="1:45" s="18" customFormat="1" ht="12.75">
      <c r="A78" s="60"/>
      <c r="B78" s="125"/>
      <c r="C78" s="100"/>
      <c r="D78" s="100"/>
      <c r="E78" s="100"/>
      <c r="F78" s="100"/>
      <c r="G78" s="100"/>
      <c r="H78" s="103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21"/>
      <c r="AP78" s="21"/>
      <c r="AQ78" s="21"/>
      <c r="AR78" s="21"/>
      <c r="AS78" s="21"/>
    </row>
    <row r="79" spans="1:45" s="18" customFormat="1" ht="12.75">
      <c r="A79" s="60"/>
      <c r="B79" s="100"/>
      <c r="C79" s="100"/>
      <c r="D79" s="100"/>
      <c r="E79" s="100"/>
      <c r="F79" s="100"/>
      <c r="G79" s="100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21"/>
      <c r="AP79" s="21"/>
      <c r="AQ79" s="21"/>
      <c r="AR79" s="21"/>
      <c r="AS79" s="21"/>
    </row>
    <row r="80" spans="1:45" s="18" customFormat="1" ht="12.75">
      <c r="A80" s="60"/>
      <c r="B80" s="100"/>
      <c r="C80" s="100"/>
      <c r="D80" s="100"/>
      <c r="E80" s="100"/>
      <c r="F80" s="100"/>
      <c r="G80" s="100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21"/>
      <c r="AP80" s="21"/>
      <c r="AQ80" s="21"/>
      <c r="AR80" s="21"/>
      <c r="AS80" s="21"/>
    </row>
    <row r="81" spans="1:45" s="18" customFormat="1" ht="12.75">
      <c r="A81" s="60"/>
      <c r="B81" s="100"/>
      <c r="C81" s="100"/>
      <c r="D81" s="100"/>
      <c r="E81" s="100"/>
      <c r="F81" s="100"/>
      <c r="G81" s="100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21"/>
      <c r="AP81" s="21"/>
      <c r="AQ81" s="21"/>
      <c r="AR81" s="21"/>
      <c r="AS81" s="21"/>
    </row>
    <row r="82" spans="1:45" s="18" customFormat="1" ht="12.75">
      <c r="A82" s="60"/>
      <c r="B82" s="100"/>
      <c r="C82" s="100"/>
      <c r="D82" s="100"/>
      <c r="E82" s="100"/>
      <c r="F82" s="100"/>
      <c r="G82" s="100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21"/>
      <c r="AP82" s="21"/>
      <c r="AQ82" s="21"/>
      <c r="AR82" s="21"/>
      <c r="AS82" s="21"/>
    </row>
    <row r="83" spans="1:45" s="18" customFormat="1" ht="12.75">
      <c r="A83" s="60"/>
      <c r="B83" s="100"/>
      <c r="C83" s="100"/>
      <c r="D83" s="100"/>
      <c r="E83" s="100"/>
      <c r="F83" s="100"/>
      <c r="G83" s="100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21"/>
      <c r="AP83" s="21"/>
      <c r="AQ83" s="21"/>
      <c r="AR83" s="21"/>
      <c r="AS83" s="21"/>
    </row>
    <row r="84" spans="1:45" s="18" customFormat="1" ht="12.75">
      <c r="A84" s="60"/>
      <c r="B84" s="100"/>
      <c r="C84" s="100"/>
      <c r="D84" s="100"/>
      <c r="E84" s="100"/>
      <c r="F84" s="100"/>
      <c r="G84" s="100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21"/>
      <c r="AP84" s="21"/>
      <c r="AQ84" s="21"/>
      <c r="AR84" s="21"/>
      <c r="AS84" s="21"/>
    </row>
    <row r="85" spans="1:40" s="18" customFormat="1" ht="12.75">
      <c r="A85" s="60"/>
      <c r="B85" s="100"/>
      <c r="C85" s="100"/>
      <c r="D85" s="100"/>
      <c r="E85" s="100"/>
      <c r="F85" s="100"/>
      <c r="G85" s="100"/>
      <c r="H85" s="8"/>
      <c r="I85" s="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</row>
    <row r="86" spans="1:40" s="18" customFormat="1" ht="12.75">
      <c r="A86" s="63"/>
      <c r="B86" s="260"/>
      <c r="C86" s="260"/>
      <c r="D86" s="261"/>
      <c r="E86" s="100"/>
      <c r="F86" s="60"/>
      <c r="G86" s="100"/>
      <c r="H86" s="8"/>
      <c r="I86" s="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</row>
    <row r="87" spans="1:40" s="18" customFormat="1" ht="12.75">
      <c r="A87" s="60"/>
      <c r="B87" s="60"/>
      <c r="C87" s="60"/>
      <c r="D87" s="60"/>
      <c r="E87" s="100"/>
      <c r="F87" s="60"/>
      <c r="G87" s="100"/>
      <c r="H87" s="8"/>
      <c r="I87" s="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</row>
    <row r="88" spans="1:40" s="18" customFormat="1" ht="12.75">
      <c r="A88" s="63"/>
      <c r="B88" s="100"/>
      <c r="C88" s="100"/>
      <c r="D88" s="100"/>
      <c r="E88" s="100"/>
      <c r="F88" s="60"/>
      <c r="G88" s="100"/>
      <c r="H88" s="8"/>
      <c r="I88" s="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</row>
    <row r="89" spans="1:40" s="18" customFormat="1" ht="12.75">
      <c r="A89" s="8"/>
      <c r="B89" s="8"/>
      <c r="C89" s="8"/>
      <c r="D89" s="8"/>
      <c r="E89" s="8"/>
      <c r="F89" s="8"/>
      <c r="G89" s="8"/>
      <c r="H89" s="8"/>
      <c r="I89" s="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</row>
    <row r="90" spans="1:40" s="18" customFormat="1" ht="12.75">
      <c r="A90" s="8"/>
      <c r="B90" s="8"/>
      <c r="C90" s="8"/>
      <c r="D90" s="8"/>
      <c r="E90" s="8"/>
      <c r="F90" s="8"/>
      <c r="G90" s="8"/>
      <c r="H90" s="8"/>
      <c r="I90" s="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</row>
    <row r="91" spans="1:40" s="18" customFormat="1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</row>
    <row r="92" spans="1:40" s="18" customFormat="1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</row>
    <row r="93" spans="1:40" s="18" customFormat="1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</row>
    <row r="94" spans="1:40" s="18" customFormat="1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</row>
    <row r="95" spans="1:40" s="18" customFormat="1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</row>
    <row r="96" spans="1:40" s="18" customFormat="1" ht="12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</row>
    <row r="97" spans="1:40" s="18" customFormat="1" ht="12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</row>
    <row r="98" spans="1:40" s="18" customFormat="1" ht="12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</row>
    <row r="99" spans="1:40" s="18" customFormat="1" ht="12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</row>
    <row r="100" spans="1:40" s="18" customFormat="1" ht="12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</row>
    <row r="101" spans="1:40" s="18" customFormat="1" ht="12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</row>
    <row r="102" spans="1:40" s="18" customFormat="1" ht="12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</row>
    <row r="103" spans="1:40" s="18" customFormat="1" ht="12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</row>
    <row r="104" spans="1:40" s="18" customFormat="1" ht="12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</row>
    <row r="105" spans="1:40" s="18" customFormat="1" ht="12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</row>
    <row r="106" spans="1:40" s="18" customFormat="1" ht="12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</row>
    <row r="107" spans="1:40" s="18" customFormat="1" ht="12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</row>
    <row r="108" spans="1:40" s="18" customFormat="1" ht="12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</row>
    <row r="109" spans="1:40" s="18" customFormat="1" ht="12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</row>
    <row r="110" spans="1:40" s="18" customFormat="1" ht="12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</row>
    <row r="111" spans="1:40" s="18" customFormat="1" ht="12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</row>
    <row r="112" spans="1:40" s="18" customFormat="1" ht="12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</row>
    <row r="113" spans="1:40" s="18" customFormat="1" ht="12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</row>
    <row r="114" spans="1:40" s="18" customFormat="1" ht="12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</row>
    <row r="115" spans="1:40" s="18" customFormat="1" ht="12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</row>
    <row r="116" spans="1:40" s="18" customFormat="1" ht="12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</row>
    <row r="117" spans="1:40" s="18" customFormat="1" ht="12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</row>
    <row r="118" spans="1:40" s="18" customFormat="1" ht="12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</row>
    <row r="119" spans="1:40" s="18" customFormat="1" ht="12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</row>
    <row r="120" spans="1:40" s="18" customFormat="1" ht="12.7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</row>
    <row r="121" spans="1:40" s="18" customFormat="1" ht="12.7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</row>
    <row r="122" spans="1:40" s="18" customFormat="1" ht="12.7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</row>
    <row r="123" spans="1:40" s="18" customFormat="1" ht="12.7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</row>
    <row r="124" spans="1:40" s="18" customFormat="1" ht="12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</row>
    <row r="125" spans="1:40" s="18" customFormat="1" ht="12.7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</row>
    <row r="126" spans="1:40" s="18" customFormat="1" ht="12.7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</row>
    <row r="127" spans="1:40" s="18" customFormat="1" ht="12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</row>
    <row r="128" spans="1:40" s="18" customFormat="1" ht="12.7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</row>
    <row r="129" spans="1:40" s="18" customFormat="1" ht="12.7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</row>
    <row r="130" spans="1:40" s="18" customFormat="1" ht="12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</row>
    <row r="131" spans="1:40" s="18" customFormat="1" ht="12.7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</row>
    <row r="132" spans="1:40" s="18" customFormat="1" ht="12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</row>
    <row r="133" spans="1:40" s="18" customFormat="1" ht="12.7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</row>
    <row r="134" spans="1:40" s="18" customFormat="1" ht="12.7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</row>
    <row r="135" spans="1:40" s="18" customFormat="1" ht="12.7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</row>
    <row r="136" spans="1:40" s="18" customFormat="1" ht="12.7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</row>
    <row r="137" spans="1:40" s="18" customFormat="1" ht="12.7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</row>
    <row r="138" spans="1:40" s="18" customFormat="1" ht="12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</row>
    <row r="139" spans="1:40" s="18" customFormat="1" ht="12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</row>
    <row r="140" spans="1:40" s="18" customFormat="1" ht="12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</row>
    <row r="141" spans="1:40" s="18" customFormat="1" ht="12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</row>
    <row r="142" spans="1:40" s="18" customFormat="1" ht="12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</row>
    <row r="143" spans="1:40" s="18" customFormat="1" ht="12.7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</row>
    <row r="144" spans="1:40" s="18" customFormat="1" ht="12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</row>
    <row r="145" spans="1:40" s="18" customFormat="1" ht="12.7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</row>
    <row r="146" spans="1:40" s="18" customFormat="1" ht="12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</row>
    <row r="147" spans="1:40" s="18" customFormat="1" ht="12.7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</row>
    <row r="148" spans="1:40" s="18" customFormat="1" ht="12.7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</row>
    <row r="149" spans="1:40" s="18" customFormat="1" ht="12.7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</row>
    <row r="150" spans="1:40" s="18" customFormat="1" ht="12.7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</row>
    <row r="151" spans="1:40" s="18" customFormat="1" ht="12.7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</row>
    <row r="152" spans="1:40" s="18" customFormat="1" ht="12.7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</row>
    <row r="153" spans="1:40" s="18" customFormat="1" ht="12.7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</row>
    <row r="154" spans="1:40" s="18" customFormat="1" ht="12.7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</row>
    <row r="155" spans="1:40" s="18" customFormat="1" ht="12.7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</row>
    <row r="156" spans="1:40" s="18" customFormat="1" ht="12.7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</row>
    <row r="157" spans="1:40" s="18" customFormat="1" ht="12.7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</row>
    <row r="158" spans="1:40" s="18" customFormat="1" ht="12.7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</row>
    <row r="159" spans="1:40" s="18" customFormat="1" ht="12.7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</row>
    <row r="160" spans="1:40" s="18" customFormat="1" ht="12.7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</row>
    <row r="161" s="18" customFormat="1" ht="11.25"/>
    <row r="162" spans="1:40" s="18" customFormat="1" ht="12.7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</row>
    <row r="163" spans="1:40" s="18" customFormat="1" ht="12.7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</row>
    <row r="164" spans="1:40" s="18" customFormat="1" ht="12.7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</row>
    <row r="165" spans="1:40" s="18" customFormat="1" ht="12.7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</row>
    <row r="166" spans="1:40" s="18" customFormat="1" ht="12.7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</row>
    <row r="167" spans="1:40" s="18" customFormat="1" ht="12.7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</row>
    <row r="168" spans="1:40" s="18" customFormat="1" ht="12.7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</row>
    <row r="169" spans="1:40" s="18" customFormat="1" ht="12.7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</row>
    <row r="170" spans="1:40" s="18" customFormat="1" ht="12.7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</row>
    <row r="171" spans="1:40" s="18" customFormat="1" ht="12.7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</row>
    <row r="172" spans="1:40" s="18" customFormat="1" ht="12.7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</row>
    <row r="173" spans="1:40" s="18" customFormat="1" ht="12.7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</row>
    <row r="174" spans="1:40" s="18" customFormat="1" ht="12.7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</row>
    <row r="175" spans="1:40" s="18" customFormat="1" ht="12.7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</row>
    <row r="176" spans="1:40" s="18" customFormat="1" ht="12.7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</row>
    <row r="177" spans="1:40" s="18" customFormat="1" ht="12.7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</row>
    <row r="178" spans="1:40" s="18" customFormat="1" ht="12.7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</row>
    <row r="179" spans="1:40" s="18" customFormat="1" ht="12.7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</row>
    <row r="180" spans="1:40" s="18" customFormat="1" ht="12.7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</row>
    <row r="181" spans="1:40" s="18" customFormat="1" ht="12.7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</row>
    <row r="182" spans="1:40" s="18" customFormat="1" ht="12.7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</row>
    <row r="183" spans="1:40" s="18" customFormat="1" ht="12.7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</row>
    <row r="184" spans="1:40" s="18" customFormat="1" ht="12.7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</row>
    <row r="185" spans="1:40" s="18" customFormat="1" ht="12.7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</row>
    <row r="186" spans="1:40" s="18" customFormat="1" ht="12.7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</row>
    <row r="187" spans="1:40" s="18" customFormat="1" ht="12.7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</row>
    <row r="188" spans="1:40" s="18" customFormat="1" ht="12.7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</row>
    <row r="189" spans="1:40" s="18" customFormat="1" ht="12.7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</row>
    <row r="190" spans="1:40" s="18" customFormat="1" ht="12.7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</row>
    <row r="191" spans="1:40" s="18" customFormat="1" ht="12.7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</row>
    <row r="192" spans="1:40" s="18" customFormat="1" ht="12.7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</row>
    <row r="193" spans="1:40" s="18" customFormat="1" ht="12.7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</row>
    <row r="194" spans="1:40" s="18" customFormat="1" ht="12.7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</row>
    <row r="195" spans="1:40" s="18" customFormat="1" ht="12.7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</row>
    <row r="196" spans="1:40" s="18" customFormat="1" ht="12.7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</row>
    <row r="197" spans="1:40" s="18" customFormat="1" ht="12.7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</row>
    <row r="198" spans="1:40" s="18" customFormat="1" ht="12.7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</row>
    <row r="199" spans="1:40" s="18" customFormat="1" ht="12.7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</row>
    <row r="200" spans="1:40" s="18" customFormat="1" ht="12.7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</row>
    <row r="201" spans="1:40" s="18" customFormat="1" ht="12.7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</row>
    <row r="202" spans="1:40" s="18" customFormat="1" ht="12.7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</row>
    <row r="203" spans="1:40" s="18" customFormat="1" ht="12.7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</row>
    <row r="204" spans="1:40" s="18" customFormat="1" ht="12.7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</row>
    <row r="205" spans="1:40" s="18" customFormat="1" ht="12.7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</row>
    <row r="206" spans="1:40" s="18" customFormat="1" ht="12.7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</row>
    <row r="207" spans="1:40" s="18" customFormat="1" ht="12.7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</row>
    <row r="208" spans="1:40" s="18" customFormat="1" ht="12.7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</row>
    <row r="209" spans="1:40" s="18" customFormat="1" ht="12.7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</row>
    <row r="210" spans="1:40" s="18" customFormat="1" ht="12.7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</row>
    <row r="211" spans="1:40" s="18" customFormat="1" ht="12.7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</row>
    <row r="212" spans="1:40" s="18" customFormat="1" ht="12.7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</row>
    <row r="213" spans="1:40" s="18" customFormat="1" ht="12.7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</row>
    <row r="214" spans="1:40" s="18" customFormat="1" ht="12.7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</row>
    <row r="215" spans="1:40" s="18" customFormat="1" ht="12.7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</row>
    <row r="216" spans="1:40" s="18" customFormat="1" ht="12.7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</row>
    <row r="217" spans="1:40" s="18" customFormat="1" ht="12.7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</row>
    <row r="218" spans="1:40" s="18" customFormat="1" ht="12.7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</row>
    <row r="219" spans="1:40" s="18" customFormat="1" ht="12.7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</row>
    <row r="220" spans="1:40" s="18" customFormat="1" ht="12.7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</row>
    <row r="221" spans="1:40" s="18" customFormat="1" ht="12.7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</row>
    <row r="222" spans="1:40" s="18" customFormat="1" ht="12.7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</row>
    <row r="223" spans="1:40" s="18" customFormat="1" ht="12.7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</row>
    <row r="224" spans="1:40" s="18" customFormat="1" ht="12.7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</row>
    <row r="225" spans="1:40" s="18" customFormat="1" ht="12.7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</row>
    <row r="226" spans="1:40" s="18" customFormat="1" ht="12.7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</row>
    <row r="227" spans="1:40" s="18" customFormat="1" ht="12.7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</row>
    <row r="228" spans="1:40" s="18" customFormat="1" ht="12.7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</row>
    <row r="229" spans="1:40" s="18" customFormat="1" ht="12.7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</row>
    <row r="230" spans="1:40" s="18" customFormat="1" ht="12.7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</row>
    <row r="231" spans="1:40" s="18" customFormat="1" ht="12.7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</row>
    <row r="232" spans="1:40" s="18" customFormat="1" ht="12.7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</row>
    <row r="233" spans="1:40" s="18" customFormat="1" ht="12.7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</row>
    <row r="234" spans="1:40" s="18" customFormat="1" ht="12.7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</row>
    <row r="235" spans="1:40" s="18" customFormat="1" ht="12.7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</row>
    <row r="236" spans="1:40" s="18" customFormat="1" ht="12.7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</row>
    <row r="237" spans="1:40" s="18" customFormat="1" ht="12.7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</row>
    <row r="238" spans="1:40" s="18" customFormat="1" ht="12.7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</row>
    <row r="239" spans="1:40" s="18" customFormat="1" ht="12.7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</row>
    <row r="240" spans="1:40" s="18" customFormat="1" ht="12.7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</row>
    <row r="241" spans="1:40" s="18" customFormat="1" ht="12.7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</row>
    <row r="242" spans="1:40" s="18" customFormat="1" ht="12.7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</row>
    <row r="243" spans="1:40" s="18" customFormat="1" ht="12.7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</row>
    <row r="244" spans="1:40" s="18" customFormat="1" ht="12.7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</row>
    <row r="245" spans="1:40" s="18" customFormat="1" ht="12.7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</row>
    <row r="246" spans="1:40" s="18" customFormat="1" ht="12.7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</row>
    <row r="247" spans="1:40" s="18" customFormat="1" ht="12.7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</row>
    <row r="248" spans="1:40" s="18" customFormat="1" ht="12.7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</row>
    <row r="249" spans="1:40" s="18" customFormat="1" ht="12.7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</row>
    <row r="250" spans="1:40" s="18" customFormat="1" ht="12.7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</row>
    <row r="251" spans="1:40" s="18" customFormat="1" ht="12.7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</row>
    <row r="252" spans="1:40" s="18" customFormat="1" ht="12.7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</row>
    <row r="253" spans="1:40" s="18" customFormat="1" ht="12.7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</row>
    <row r="254" spans="1:40" s="18" customFormat="1" ht="12.7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</row>
    <row r="255" spans="1:40" s="18" customFormat="1" ht="12.7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</row>
    <row r="256" spans="1:40" s="18" customFormat="1" ht="12.7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</row>
    <row r="257" spans="1:40" s="18" customFormat="1" ht="12.7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</row>
    <row r="258" spans="1:40" s="18" customFormat="1" ht="12.7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</row>
    <row r="259" spans="1:40" s="18" customFormat="1" ht="12.7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</row>
    <row r="260" spans="1:40" s="18" customFormat="1" ht="12.7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</row>
    <row r="261" spans="1:40" s="18" customFormat="1" ht="12.7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</row>
    <row r="262" spans="1:40" s="18" customFormat="1" ht="12.7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</row>
    <row r="263" spans="1:40" s="18" customFormat="1" ht="12.7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</row>
    <row r="264" spans="1:40" s="18" customFormat="1" ht="12.7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</row>
    <row r="265" spans="1:40" s="18" customFormat="1" ht="12.7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</row>
    <row r="266" spans="1:40" s="18" customFormat="1" ht="12.7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</row>
    <row r="267" spans="1:40" s="18" customFormat="1" ht="12.7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</row>
    <row r="268" spans="1:40" s="18" customFormat="1" ht="12.7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</row>
    <row r="269" spans="1:40" s="18" customFormat="1" ht="12.7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</row>
    <row r="270" spans="1:40" s="18" customFormat="1" ht="12.7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</row>
    <row r="271" spans="1:40" s="18" customFormat="1" ht="12.7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</row>
    <row r="272" spans="1:40" s="18" customFormat="1" ht="12.7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</row>
    <row r="273" spans="1:40" s="18" customFormat="1" ht="12.7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</row>
    <row r="274" spans="1:40" s="18" customFormat="1" ht="12.7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</row>
    <row r="275" spans="1:40" s="18" customFormat="1" ht="12.7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</row>
    <row r="276" spans="1:40" s="18" customFormat="1" ht="12.7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</row>
    <row r="277" spans="1:40" s="18" customFormat="1" ht="12.7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</row>
    <row r="278" spans="1:40" s="18" customFormat="1" ht="12.7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</row>
    <row r="279" spans="1:40" s="18" customFormat="1" ht="12.7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</row>
    <row r="280" spans="1:40" s="18" customFormat="1" ht="12.7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</row>
    <row r="281" spans="1:40" s="18" customFormat="1" ht="12.7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</row>
    <row r="282" spans="1:40" s="18" customFormat="1" ht="12.7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</row>
    <row r="283" spans="1:40" s="18" customFormat="1" ht="12.7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</row>
    <row r="284" spans="1:40" s="18" customFormat="1" ht="12.7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</row>
    <row r="285" spans="1:40" s="18" customFormat="1" ht="12.7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</row>
    <row r="286" spans="1:40" s="18" customFormat="1" ht="12.7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</row>
    <row r="287" spans="1:40" s="18" customFormat="1" ht="12.7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</row>
    <row r="288" spans="1:40" s="18" customFormat="1" ht="12.7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</row>
    <row r="289" spans="1:40" s="18" customFormat="1" ht="12.7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</row>
    <row r="290" spans="1:40" s="18" customFormat="1" ht="12.7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</row>
    <row r="291" spans="1:40" s="18" customFormat="1" ht="12.7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</row>
    <row r="292" spans="1:40" s="18" customFormat="1" ht="12.7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</row>
    <row r="293" spans="1:40" s="18" customFormat="1" ht="12.7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</row>
    <row r="294" spans="1:40" s="18" customFormat="1" ht="12.7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</row>
    <row r="295" spans="1:40" s="18" customFormat="1" ht="12.7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</row>
    <row r="296" spans="1:40" s="18" customFormat="1" ht="12.7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</row>
    <row r="297" spans="1:40" s="18" customFormat="1" ht="12.7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</row>
    <row r="298" spans="1:40" s="18" customFormat="1" ht="12.7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</row>
    <row r="299" spans="1:40" s="18" customFormat="1" ht="12.7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</row>
    <row r="300" spans="1:40" s="18" customFormat="1" ht="12.7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</row>
    <row r="301" spans="1:40" s="18" customFormat="1" ht="12.7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</row>
    <row r="302" spans="1:40" s="18" customFormat="1" ht="12.7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</row>
    <row r="303" spans="1:40" s="18" customFormat="1" ht="12.7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</row>
    <row r="304" spans="1:40" s="18" customFormat="1" ht="12.7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</row>
    <row r="305" spans="1:40" s="18" customFormat="1" ht="12.7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</row>
    <row r="306" spans="1:40" s="18" customFormat="1" ht="12.7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</row>
    <row r="307" spans="1:40" s="18" customFormat="1" ht="12.7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</row>
    <row r="308" spans="1:40" s="18" customFormat="1" ht="12.7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</row>
    <row r="309" spans="1:40" s="18" customFormat="1" ht="12.7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</row>
    <row r="310" spans="1:40" s="18" customFormat="1" ht="12.7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</row>
    <row r="311" spans="1:40" s="18" customFormat="1" ht="12.7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</row>
    <row r="312" spans="1:40" s="18" customFormat="1" ht="12.7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</row>
    <row r="313" spans="1:40" s="18" customFormat="1" ht="12.7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</row>
    <row r="314" spans="1:40" s="18" customFormat="1" ht="12.7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</row>
    <row r="315" spans="1:40" s="18" customFormat="1" ht="12.7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</row>
    <row r="316" spans="1:40" s="18" customFormat="1" ht="12.7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</row>
    <row r="317" spans="1:40" s="18" customFormat="1" ht="12.7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</row>
    <row r="318" spans="1:40" s="18" customFormat="1" ht="12.7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</row>
    <row r="319" spans="1:40" s="18" customFormat="1" ht="12.7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</row>
    <row r="320" spans="1:40" s="18" customFormat="1" ht="12.7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</row>
    <row r="321" spans="1:40" s="18" customFormat="1" ht="12.7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</row>
    <row r="322" spans="1:40" s="18" customFormat="1" ht="12.7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</row>
    <row r="323" spans="1:40" s="18" customFormat="1" ht="12.7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</row>
    <row r="324" spans="1:40" s="18" customFormat="1" ht="12.7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</row>
    <row r="325" spans="1:40" s="18" customFormat="1" ht="12.7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</row>
    <row r="326" spans="1:40" s="18" customFormat="1" ht="12.7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</row>
    <row r="327" spans="1:40" s="18" customFormat="1" ht="12.7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</row>
    <row r="328" spans="1:40" s="18" customFormat="1" ht="12.7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</row>
    <row r="329" spans="1:40" s="18" customFormat="1" ht="12.7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</row>
    <row r="330" spans="1:40" s="18" customFormat="1" ht="12.7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</row>
    <row r="331" spans="1:40" s="18" customFormat="1" ht="12.7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</row>
    <row r="332" spans="1:40" s="18" customFormat="1" ht="12.7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</row>
    <row r="333" spans="1:40" s="18" customFormat="1" ht="12.7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</row>
    <row r="334" spans="1:40" s="18" customFormat="1" ht="12.7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</row>
    <row r="335" spans="1:40" s="18" customFormat="1" ht="12.7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</row>
    <row r="336" spans="1:40" s="18" customFormat="1" ht="12.7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</row>
    <row r="337" spans="1:40" s="18" customFormat="1" ht="12.7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</row>
    <row r="338" spans="1:40" s="18" customFormat="1" ht="12.7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</row>
    <row r="339" spans="1:40" s="18" customFormat="1" ht="12.7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</row>
    <row r="340" spans="1:40" s="18" customFormat="1" ht="12.7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</row>
    <row r="341" spans="1:40" s="18" customFormat="1" ht="12.7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</row>
    <row r="342" spans="1:40" s="18" customFormat="1" ht="12.7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</row>
    <row r="343" spans="1:40" s="18" customFormat="1" ht="12.7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</row>
    <row r="344" spans="1:40" s="18" customFormat="1" ht="12.7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</row>
    <row r="345" spans="1:40" s="18" customFormat="1" ht="12.7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</row>
    <row r="346" spans="1:40" s="18" customFormat="1" ht="12.7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</row>
    <row r="347" spans="1:40" s="18" customFormat="1" ht="12.7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</row>
    <row r="348" spans="1:40" s="18" customFormat="1" ht="12.7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</row>
    <row r="349" spans="1:40" s="18" customFormat="1" ht="12.7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</row>
    <row r="350" spans="1:40" s="18" customFormat="1" ht="12.7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</row>
    <row r="351" spans="1:40" s="18" customFormat="1" ht="12.7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</row>
    <row r="352" spans="1:40" s="18" customFormat="1" ht="12.7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</row>
    <row r="353" spans="1:40" s="18" customFormat="1" ht="12.7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</row>
    <row r="354" spans="1:40" s="18" customFormat="1" ht="12.7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</row>
    <row r="355" spans="1:40" s="18" customFormat="1" ht="12.7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</row>
    <row r="356" spans="1:40" s="18" customFormat="1" ht="12.7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</row>
    <row r="357" spans="1:40" s="18" customFormat="1" ht="12.7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</row>
    <row r="358" spans="1:40" s="18" customFormat="1" ht="12.7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</row>
    <row r="359" spans="1:40" s="18" customFormat="1" ht="12.7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</row>
    <row r="360" spans="1:40" s="18" customFormat="1" ht="12.7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</row>
    <row r="361" spans="1:40" s="18" customFormat="1" ht="12.75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</row>
    <row r="362" s="18" customFormat="1" ht="11.25"/>
    <row r="363" s="18" customFormat="1" ht="11.25"/>
    <row r="364" s="18" customFormat="1" ht="11.25"/>
    <row r="365" s="18" customFormat="1" ht="11.25"/>
    <row r="366" s="18" customFormat="1" ht="11.25"/>
    <row r="367" s="18" customFormat="1" ht="11.25"/>
    <row r="368" s="18" customFormat="1" ht="11.25"/>
    <row r="369" s="18" customFormat="1" ht="11.25"/>
    <row r="370" s="18" customFormat="1" ht="11.25"/>
    <row r="371" s="18" customFormat="1" ht="11.25"/>
    <row r="372" s="18" customFormat="1" ht="11.25"/>
    <row r="373" s="18" customFormat="1" ht="11.25"/>
    <row r="374" s="18" customFormat="1" ht="11.25"/>
    <row r="375" s="18" customFormat="1" ht="11.25"/>
    <row r="376" s="18" customFormat="1" ht="11.25"/>
    <row r="377" s="18" customFormat="1" ht="11.25"/>
    <row r="378" s="18" customFormat="1" ht="11.25"/>
    <row r="379" s="18" customFormat="1" ht="11.25"/>
    <row r="380" s="18" customFormat="1" ht="11.25"/>
    <row r="381" s="18" customFormat="1" ht="11.25"/>
    <row r="382" s="18" customFormat="1" ht="11.25"/>
    <row r="383" s="18" customFormat="1" ht="11.25"/>
    <row r="384" s="18" customFormat="1" ht="11.25"/>
  </sheetData>
  <sheetProtection sheet="1"/>
  <mergeCells count="9">
    <mergeCell ref="A1:B1"/>
    <mergeCell ref="BE23:BF23"/>
    <mergeCell ref="AW23:AX23"/>
    <mergeCell ref="AY23:AZ23"/>
    <mergeCell ref="BA23:BB23"/>
    <mergeCell ref="BC23:BD23"/>
    <mergeCell ref="AQ23:AR23"/>
    <mergeCell ref="AS23:AT23"/>
    <mergeCell ref="AU23:AV23"/>
  </mergeCells>
  <dataValidations count="2">
    <dataValidation type="list" allowBlank="1" showInputMessage="1" showErrorMessage="1" sqref="H7">
      <formula1>$T$24:$T$25</formula1>
    </dataValidation>
    <dataValidation type="list" allowBlank="1" showInputMessage="1" showErrorMessage="1" sqref="P41 B26:B48 B50 B52 B55 B57 B60 B62 P51 P49 P46 P44">
      <formula1>$S$24:$S$47</formula1>
    </dataValidation>
  </dataValidations>
  <printOptions horizontalCentered="1" verticalCentered="1"/>
  <pageMargins left="0.5" right="0.5" top="0.5" bottom="0.5" header="0" footer="0"/>
  <pageSetup fitToHeight="1" fitToWidth="1" horizontalDpi="600" verticalDpi="600" orientation="landscape" scale="68" r:id="rId3"/>
  <colBreaks count="1" manualBreakCount="1">
    <brk id="20" min="13" max="53" man="1"/>
  </colBreaks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R36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5.57421875" style="0" bestFit="1" customWidth="1"/>
    <col min="2" max="2" width="10.8515625" style="0" bestFit="1" customWidth="1"/>
    <col min="3" max="3" width="11.421875" style="0" customWidth="1"/>
    <col min="4" max="6" width="10.7109375" style="0" customWidth="1"/>
    <col min="7" max="7" width="11.28125" style="0" customWidth="1"/>
    <col min="8" max="10" width="10.7109375" style="0" customWidth="1"/>
    <col min="11" max="11" width="11.57421875" style="0" customWidth="1"/>
    <col min="12" max="15" width="10.7109375" style="0" customWidth="1"/>
    <col min="16" max="16" width="12.28125" style="0" customWidth="1"/>
    <col min="17" max="20" width="10.7109375" style="0" customWidth="1"/>
    <col min="21" max="21" width="25.57421875" style="0" customWidth="1"/>
    <col min="22" max="22" width="12.00390625" style="0" bestFit="1" customWidth="1"/>
    <col min="23" max="40" width="10.7109375" style="0" customWidth="1"/>
  </cols>
  <sheetData>
    <row r="1" spans="1:252" s="18" customFormat="1" ht="12.75">
      <c r="A1" s="1020" t="s">
        <v>835</v>
      </c>
      <c r="B1" s="1020"/>
      <c r="C1" s="991"/>
      <c r="E1" s="61"/>
      <c r="F1" s="61"/>
      <c r="G1" s="239"/>
      <c r="H1" s="61"/>
      <c r="I1" s="656"/>
      <c r="J1" s="656"/>
      <c r="K1" s="61"/>
      <c r="L1" s="61"/>
      <c r="M1" s="61"/>
      <c r="N1" s="61"/>
      <c r="O1" s="61"/>
      <c r="P1" s="61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21"/>
      <c r="AP1" s="21"/>
      <c r="AQ1" s="21"/>
      <c r="AR1" s="21"/>
      <c r="AS1" s="21"/>
      <c r="IR1" s="18" t="s">
        <v>712</v>
      </c>
    </row>
    <row r="2" spans="1:252" s="18" customFormat="1" ht="12.75">
      <c r="A2" s="61" t="s">
        <v>886</v>
      </c>
      <c r="B2" s="61"/>
      <c r="C2" s="61"/>
      <c r="D2" s="61"/>
      <c r="E2" s="61"/>
      <c r="F2" s="61"/>
      <c r="G2" s="102"/>
      <c r="H2" s="61"/>
      <c r="I2" s="705"/>
      <c r="J2" s="239"/>
      <c r="K2" s="65"/>
      <c r="L2" s="61"/>
      <c r="M2" s="61"/>
      <c r="N2" s="61"/>
      <c r="O2" s="61"/>
      <c r="P2" s="61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21"/>
      <c r="AP2" s="21"/>
      <c r="AQ2" s="21"/>
      <c r="AR2" s="21"/>
      <c r="AS2" s="21"/>
      <c r="IR2" s="18" t="s">
        <v>713</v>
      </c>
    </row>
    <row r="3" spans="1:252" s="18" customFormat="1" ht="12.75">
      <c r="A3" s="61"/>
      <c r="B3" s="74" t="s">
        <v>603</v>
      </c>
      <c r="C3" s="61"/>
      <c r="D3" s="61"/>
      <c r="E3" s="61"/>
      <c r="F3" s="61"/>
      <c r="G3" s="61"/>
      <c r="H3" s="61"/>
      <c r="I3" s="705"/>
      <c r="J3" s="705"/>
      <c r="K3" s="65"/>
      <c r="L3" s="61"/>
      <c r="M3" s="61"/>
      <c r="N3" s="61"/>
      <c r="O3" s="61"/>
      <c r="P3" s="61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1"/>
      <c r="AP3" s="21"/>
      <c r="AQ3" s="21"/>
      <c r="AR3" s="21"/>
      <c r="AS3" s="21"/>
      <c r="IR3" s="18" t="s">
        <v>714</v>
      </c>
    </row>
    <row r="4" spans="1:252" s="18" customFormat="1" ht="12.75">
      <c r="A4" s="706" t="s">
        <v>604</v>
      </c>
      <c r="B4" s="88"/>
      <c r="C4" s="459"/>
      <c r="D4" s="706" t="s">
        <v>734</v>
      </c>
      <c r="E4" s="89"/>
      <c r="F4" s="61"/>
      <c r="G4" s="61"/>
      <c r="H4" s="61"/>
      <c r="I4" s="705"/>
      <c r="J4" s="239"/>
      <c r="K4" s="65"/>
      <c r="L4" s="61"/>
      <c r="M4" s="61"/>
      <c r="N4" s="61"/>
      <c r="O4" s="61"/>
      <c r="P4" s="61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21"/>
      <c r="AP4" s="21"/>
      <c r="AQ4" s="21"/>
      <c r="AR4" s="21"/>
      <c r="AS4" s="21"/>
      <c r="IR4" s="18" t="s">
        <v>607</v>
      </c>
    </row>
    <row r="5" spans="1:45" s="18" customFormat="1" ht="12.75">
      <c r="A5" s="706" t="s">
        <v>605</v>
      </c>
      <c r="B5" s="90"/>
      <c r="C5" s="459"/>
      <c r="D5" s="706" t="s">
        <v>967</v>
      </c>
      <c r="E5" s="707">
        <f>IF(Input!$E$14="","",Input!$E$14)</f>
      </c>
      <c r="F5" s="708"/>
      <c r="G5" s="709"/>
      <c r="H5" s="61"/>
      <c r="I5" s="705"/>
      <c r="J5" s="705"/>
      <c r="K5" s="65"/>
      <c r="L5" s="61"/>
      <c r="M5" s="61"/>
      <c r="N5" s="61"/>
      <c r="O5" s="61"/>
      <c r="P5" s="61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21"/>
      <c r="AP5" s="21"/>
      <c r="AQ5" s="21"/>
      <c r="AR5" s="21"/>
      <c r="AS5" s="21"/>
    </row>
    <row r="6" spans="1:45" s="18" customFormat="1" ht="12.75">
      <c r="A6" s="706" t="s">
        <v>606</v>
      </c>
      <c r="B6" s="91"/>
      <c r="C6" s="459"/>
      <c r="D6" s="706" t="s">
        <v>735</v>
      </c>
      <c r="E6" s="92"/>
      <c r="F6" s="710">
        <f>IF(Input!$B$6="","",IF(Input!$B$6="E","Degree F",IF(Input!$B$6="M","Degree C")))</f>
      </c>
      <c r="G6" s="61"/>
      <c r="H6" s="65"/>
      <c r="I6" s="65"/>
      <c r="J6" s="239"/>
      <c r="K6" s="65"/>
      <c r="L6" s="61"/>
      <c r="M6" s="61"/>
      <c r="N6" s="61"/>
      <c r="O6" s="61"/>
      <c r="P6" s="61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21"/>
      <c r="AP6" s="21"/>
      <c r="AQ6" s="21"/>
      <c r="AR6" s="21"/>
      <c r="AS6" s="21"/>
    </row>
    <row r="7" spans="1:45" s="18" customFormat="1" ht="12.75">
      <c r="A7" s="706" t="s">
        <v>608</v>
      </c>
      <c r="B7" s="781"/>
      <c r="C7" s="711">
        <f>IF(Input!$B$6="","",IF(Input!$B$6="E","psi",IF(Input!$B$6="M","kPa")))</f>
      </c>
      <c r="D7" s="656"/>
      <c r="E7" s="656"/>
      <c r="F7" s="656"/>
      <c r="G7" s="712" t="s">
        <v>880</v>
      </c>
      <c r="H7" s="25"/>
      <c r="I7" s="656"/>
      <c r="J7" s="656"/>
      <c r="K7" s="656"/>
      <c r="L7" s="61"/>
      <c r="M7" s="61"/>
      <c r="N7" s="61"/>
      <c r="O7" s="61"/>
      <c r="P7" s="61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21"/>
      <c r="AP7" s="21"/>
      <c r="AQ7" s="21"/>
      <c r="AR7" s="21"/>
      <c r="AS7" s="21"/>
    </row>
    <row r="8" spans="1:45" s="18" customFormat="1" ht="12.75">
      <c r="A8" s="706" t="s">
        <v>609</v>
      </c>
      <c r="B8" s="781"/>
      <c r="C8" s="711">
        <f>IF(Input!$B$6="","",IF(Input!$B$6="E","psi",IF(Input!$B$6="M","kPa")))</f>
      </c>
      <c r="D8" s="61"/>
      <c r="E8" s="61"/>
      <c r="F8" s="61"/>
      <c r="G8" s="656"/>
      <c r="H8" s="656" t="s">
        <v>888</v>
      </c>
      <c r="I8" s="656" t="s">
        <v>889</v>
      </c>
      <c r="J8" s="656"/>
      <c r="K8" s="656"/>
      <c r="L8" s="61"/>
      <c r="M8" s="61"/>
      <c r="N8" s="61"/>
      <c r="O8" s="61"/>
      <c r="P8" s="61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21"/>
      <c r="AP8" s="21"/>
      <c r="AQ8" s="21"/>
      <c r="AR8" s="21"/>
      <c r="AS8" s="21"/>
    </row>
    <row r="9" spans="1:45" s="18" customFormat="1" ht="12.75">
      <c r="A9" s="706" t="s">
        <v>610</v>
      </c>
      <c r="B9" s="105"/>
      <c r="C9" s="710">
        <f>IF(Input!$B$6="","",IF(Input!$B$6="E","Degree F",IF(Input!$B$6="M","Degree C")))</f>
      </c>
      <c r="D9" s="61"/>
      <c r="E9" s="61"/>
      <c r="F9" s="61"/>
      <c r="G9" s="712" t="str">
        <f>IF($H$7="Heat/Steam","Heat On","Started")</f>
        <v>Started</v>
      </c>
      <c r="H9" s="134"/>
      <c r="I9" s="271"/>
      <c r="J9" s="705"/>
      <c r="K9" s="65"/>
      <c r="L9" s="61"/>
      <c r="M9" s="61"/>
      <c r="N9" s="61"/>
      <c r="O9" s="61"/>
      <c r="P9" s="61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21"/>
      <c r="AP9" s="21"/>
      <c r="AQ9" s="21"/>
      <c r="AR9" s="21"/>
      <c r="AS9" s="21"/>
    </row>
    <row r="10" spans="1:45" s="18" customFormat="1" ht="12.75">
      <c r="A10" s="656"/>
      <c r="B10" s="656"/>
      <c r="C10" s="656"/>
      <c r="D10" s="61"/>
      <c r="E10" s="61"/>
      <c r="F10" s="61"/>
      <c r="G10" s="712" t="str">
        <f>IF($H$7="Heat/Steam","Heat Off","Completed")</f>
        <v>Completed</v>
      </c>
      <c r="H10" s="134"/>
      <c r="I10" s="271"/>
      <c r="J10" s="239"/>
      <c r="K10" s="65"/>
      <c r="L10" s="61"/>
      <c r="M10" s="61"/>
      <c r="N10" s="61"/>
      <c r="O10" s="61"/>
      <c r="P10" s="61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21"/>
      <c r="AP10" s="21"/>
      <c r="AQ10" s="21"/>
      <c r="AR10" s="21"/>
      <c r="AS10" s="21"/>
    </row>
    <row r="11" spans="1:45" s="18" customFormat="1" ht="12.75">
      <c r="A11" s="61" t="s">
        <v>611</v>
      </c>
      <c r="B11" s="61"/>
      <c r="C11" s="61"/>
      <c r="D11" s="61"/>
      <c r="E11" s="61"/>
      <c r="F11" s="61"/>
      <c r="G11" s="712" t="s">
        <v>623</v>
      </c>
      <c r="H11" s="25"/>
      <c r="I11" s="710">
        <f>IF(Input!$B$6="","",IF(Input!$B$6="E","Degree F",IF(Input!$B$6="M","Degree C")))</f>
      </c>
      <c r="J11" s="551" t="s">
        <v>881</v>
      </c>
      <c r="K11" s="65"/>
      <c r="L11" s="61"/>
      <c r="M11" s="61"/>
      <c r="N11" s="61"/>
      <c r="O11" s="61"/>
      <c r="P11" s="61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21"/>
      <c r="AP11" s="21"/>
      <c r="AQ11" s="21"/>
      <c r="AR11" s="21"/>
      <c r="AS11" s="21"/>
    </row>
    <row r="12" spans="1:62" s="18" customFormat="1" ht="12.75">
      <c r="A12" s="61" t="s">
        <v>612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30"/>
      <c r="AP12" s="30"/>
      <c r="AQ12" s="35"/>
      <c r="AR12" s="30"/>
      <c r="AS12" s="30"/>
      <c r="AT12" s="30"/>
      <c r="AU12" s="30"/>
      <c r="AV12" s="30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</row>
    <row r="13" spans="1:16" s="18" customFormat="1" ht="7.5" customHeight="1">
      <c r="A13" s="713"/>
      <c r="B13" s="714"/>
      <c r="C13" s="714"/>
      <c r="D13" s="714"/>
      <c r="E13" s="714"/>
      <c r="F13" s="714"/>
      <c r="G13" s="714"/>
      <c r="H13" s="714"/>
      <c r="I13" s="714"/>
      <c r="J13" s="714"/>
      <c r="K13" s="714"/>
      <c r="L13" s="714"/>
      <c r="M13" s="714"/>
      <c r="N13" s="714"/>
      <c r="O13" s="714"/>
      <c r="P13" s="714"/>
    </row>
    <row r="14" spans="1:45" s="18" customFormat="1" ht="15" customHeight="1">
      <c r="A14" s="715" t="s">
        <v>616</v>
      </c>
      <c r="B14" s="716" t="s">
        <v>614</v>
      </c>
      <c r="C14" s="558">
        <f>IF(Input!$B$7="","",Input!$B$7)</f>
      </c>
      <c r="D14" s="558">
        <f>IF(Input!$B$9="","",Input!$B$9)</f>
      </c>
      <c r="E14" s="65"/>
      <c r="F14" s="61"/>
      <c r="G14" s="61" t="s">
        <v>615</v>
      </c>
      <c r="H14" s="61"/>
      <c r="I14" s="61"/>
      <c r="J14" s="61"/>
      <c r="K14" s="61"/>
      <c r="L14" s="61" t="s">
        <v>137</v>
      </c>
      <c r="M14" s="61" t="s">
        <v>137</v>
      </c>
      <c r="N14" s="61"/>
      <c r="O14" s="7" t="str">
        <f>Main!J1</f>
        <v>Revised 4/22/16</v>
      </c>
      <c r="P14" s="61"/>
      <c r="Q14" s="8"/>
      <c r="R14" s="8"/>
      <c r="S14" s="8"/>
      <c r="T14" s="8"/>
      <c r="U14" s="60"/>
      <c r="V14" s="60"/>
      <c r="W14" s="59"/>
      <c r="X14" s="59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30"/>
      <c r="AP14" s="21"/>
      <c r="AQ14" s="21"/>
      <c r="AR14" s="21"/>
      <c r="AS14" s="21"/>
    </row>
    <row r="15" spans="1:45" s="18" customFormat="1" ht="15" customHeight="1">
      <c r="A15" s="717" t="s">
        <v>617</v>
      </c>
      <c r="B15" s="718">
        <f>+IF(E6="","",E6)</f>
      </c>
      <c r="C15" s="665">
        <f>IF(Input!$B$6="","",IF(Input!$B$6="E","Degree F",IF(Input!$B$6="M","Degree C")))</f>
      </c>
      <c r="D15" s="61"/>
      <c r="E15" s="61"/>
      <c r="F15" s="61"/>
      <c r="G15" s="61" t="s">
        <v>618</v>
      </c>
      <c r="H15" s="61"/>
      <c r="I15" s="61"/>
      <c r="J15" s="61"/>
      <c r="K15" s="706" t="s">
        <v>619</v>
      </c>
      <c r="L15" s="93">
        <f>IF($E$4="","",$E$4)</f>
      </c>
      <c r="M15" s="459"/>
      <c r="N15" s="706" t="s">
        <v>719</v>
      </c>
      <c r="O15" s="719">
        <f>IF(Source!B28="","",Source!B28)</f>
      </c>
      <c r="P15" s="61"/>
      <c r="Q15" s="38"/>
      <c r="T15" s="8"/>
      <c r="U15" s="60"/>
      <c r="V15" s="71"/>
      <c r="W15" s="71"/>
      <c r="X15" s="60"/>
      <c r="Y15" s="60"/>
      <c r="Z15" s="60"/>
      <c r="AA15" s="60"/>
      <c r="AB15" s="60"/>
      <c r="AC15" s="60"/>
      <c r="AD15" s="60"/>
      <c r="AE15" s="60"/>
      <c r="AF15" s="60"/>
      <c r="AG15" s="63"/>
      <c r="AH15" s="60"/>
      <c r="AI15" s="102"/>
      <c r="AJ15" s="60"/>
      <c r="AK15" s="60"/>
      <c r="AL15" s="60"/>
      <c r="AM15" s="60"/>
      <c r="AN15" s="60"/>
      <c r="AO15" s="30"/>
      <c r="AP15" s="21"/>
      <c r="AQ15" s="21"/>
      <c r="AR15" s="21"/>
      <c r="AS15" s="21"/>
    </row>
    <row r="16" spans="1:44" s="18" customFormat="1" ht="15" customHeight="1">
      <c r="A16" s="720"/>
      <c r="B16" s="706" t="s">
        <v>715</v>
      </c>
      <c r="C16" s="721">
        <f>IF(Input!B31="","",Input!B31)</f>
      </c>
      <c r="D16" s="721"/>
      <c r="E16" s="721"/>
      <c r="F16" s="61"/>
      <c r="G16" s="459"/>
      <c r="H16" s="706" t="s">
        <v>718</v>
      </c>
      <c r="I16" s="722">
        <f>IF(Input!B8="","",Input!B8)</f>
      </c>
      <c r="J16" s="61"/>
      <c r="K16" s="61"/>
      <c r="L16" s="61"/>
      <c r="M16" s="61"/>
      <c r="N16" s="61"/>
      <c r="O16" s="61"/>
      <c r="P16" s="61"/>
      <c r="Q16" s="8"/>
      <c r="R16" s="8"/>
      <c r="S16" s="8"/>
      <c r="T16" s="8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30"/>
      <c r="AP16" s="21"/>
      <c r="AQ16" s="21"/>
      <c r="AR16" s="21"/>
    </row>
    <row r="17" spans="1:44" s="18" customFormat="1" ht="15" customHeight="1">
      <c r="A17" s="320"/>
      <c r="B17" s="706" t="s">
        <v>716</v>
      </c>
      <c r="C17" s="721">
        <f>IF(Input!B33="","",Input!B33)</f>
      </c>
      <c r="D17" s="721"/>
      <c r="E17" s="721"/>
      <c r="F17" s="61"/>
      <c r="G17" s="459"/>
      <c r="H17" s="706" t="s">
        <v>717</v>
      </c>
      <c r="I17" s="722">
        <f>IF(D14="","",D14)</f>
      </c>
      <c r="J17" s="61"/>
      <c r="K17" s="706" t="s">
        <v>620</v>
      </c>
      <c r="L17" s="707">
        <f>IF(E5="","",E5)</f>
      </c>
      <c r="M17" s="708"/>
      <c r="N17" s="708"/>
      <c r="O17" s="709"/>
      <c r="P17" s="61"/>
      <c r="Q17" s="8"/>
      <c r="R17" s="8"/>
      <c r="S17" s="8"/>
      <c r="T17" s="8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3"/>
      <c r="AF17" s="60"/>
      <c r="AG17" s="60"/>
      <c r="AH17" s="60"/>
      <c r="AI17" s="60"/>
      <c r="AJ17" s="60"/>
      <c r="AK17" s="60"/>
      <c r="AL17" s="60"/>
      <c r="AM17" s="60"/>
      <c r="AN17" s="60"/>
      <c r="AO17" s="30"/>
      <c r="AP17" s="21"/>
      <c r="AQ17" s="21"/>
      <c r="AR17" s="21"/>
    </row>
    <row r="18" spans="1:44" s="18" customFormat="1" ht="15" customHeight="1">
      <c r="A18" s="723"/>
      <c r="B18" s="656"/>
      <c r="C18" s="656"/>
      <c r="D18" s="656"/>
      <c r="E18" s="656"/>
      <c r="F18" s="656"/>
      <c r="G18" s="656"/>
      <c r="H18" s="656"/>
      <c r="I18" s="656"/>
      <c r="J18" s="656"/>
      <c r="K18" s="656"/>
      <c r="L18" s="656"/>
      <c r="M18" s="656"/>
      <c r="N18" s="656"/>
      <c r="O18" s="656"/>
      <c r="P18" s="656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30"/>
      <c r="AP18" s="21"/>
      <c r="AQ18" s="21"/>
      <c r="AR18" s="21"/>
    </row>
    <row r="19" spans="1:44" s="18" customFormat="1" ht="15" customHeight="1">
      <c r="A19" s="717"/>
      <c r="B19" s="724" t="s">
        <v>621</v>
      </c>
      <c r="C19" s="725">
        <f>IF(Input!$E$64="","",Input!$E$64)</f>
      </c>
      <c r="D19" s="726" t="s">
        <v>622</v>
      </c>
      <c r="E19" s="727">
        <f>IF($E$4="","",$E$4)</f>
      </c>
      <c r="F19" s="728">
        <f>IF(Input!$E$65="","",Input!$E$65)</f>
      </c>
      <c r="G19" s="729"/>
      <c r="H19" s="730">
        <f>IF($E$4="","",$E$4)</f>
      </c>
      <c r="I19" s="731">
        <f>IF(Input!$E$66="","",Input!$E$66)</f>
      </c>
      <c r="J19" s="732"/>
      <c r="K19" s="733">
        <f>IF($E$4="","",$E$4)</f>
      </c>
      <c r="L19" s="734">
        <f>IF(Input!$E$67="","",Input!$E$67)</f>
      </c>
      <c r="M19" s="735"/>
      <c r="N19" s="736">
        <f>IF($E$4="","",$E$4)</f>
      </c>
      <c r="O19" s="777" t="s">
        <v>882</v>
      </c>
      <c r="P19" s="778">
        <f>IF($H$7="","",$H$7)</f>
      </c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30"/>
      <c r="AP19" s="21"/>
      <c r="AQ19" s="21"/>
      <c r="AR19" s="21"/>
    </row>
    <row r="20" spans="1:44" s="18" customFormat="1" ht="15" customHeight="1">
      <c r="A20" s="738"/>
      <c r="B20" s="739"/>
      <c r="C20" s="740" t="s">
        <v>867</v>
      </c>
      <c r="D20" s="740" t="s">
        <v>868</v>
      </c>
      <c r="E20" s="741" t="s">
        <v>869</v>
      </c>
      <c r="F20" s="742" t="s">
        <v>867</v>
      </c>
      <c r="G20" s="743" t="s">
        <v>868</v>
      </c>
      <c r="H20" s="744" t="s">
        <v>869</v>
      </c>
      <c r="I20" s="745" t="s">
        <v>867</v>
      </c>
      <c r="J20" s="746" t="s">
        <v>870</v>
      </c>
      <c r="K20" s="747" t="s">
        <v>869</v>
      </c>
      <c r="L20" s="748" t="s">
        <v>867</v>
      </c>
      <c r="M20" s="749" t="s">
        <v>870</v>
      </c>
      <c r="N20" s="750" t="s">
        <v>869</v>
      </c>
      <c r="O20" s="753" t="str">
        <f>+$G$9</f>
        <v>Started</v>
      </c>
      <c r="P20" s="262">
        <f>IF($H$9="","",$H$9)</f>
      </c>
      <c r="Q20" s="248"/>
      <c r="R20" s="59"/>
      <c r="U20" s="125"/>
      <c r="V20" s="60"/>
      <c r="W20" s="83"/>
      <c r="X20" s="100"/>
      <c r="Y20" s="248"/>
      <c r="Z20" s="59"/>
      <c r="AA20" s="83"/>
      <c r="AB20" s="59"/>
      <c r="AC20" s="248"/>
      <c r="AD20" s="59"/>
      <c r="AE20" s="83"/>
      <c r="AF20" s="59"/>
      <c r="AG20" s="248"/>
      <c r="AH20" s="59"/>
      <c r="AI20" s="83"/>
      <c r="AJ20" s="59"/>
      <c r="AK20" s="248"/>
      <c r="AL20" s="239"/>
      <c r="AM20" s="239"/>
      <c r="AN20" s="239"/>
      <c r="AO20" s="30"/>
      <c r="AP20" s="21"/>
      <c r="AQ20" s="21"/>
      <c r="AR20" s="21"/>
    </row>
    <row r="21" spans="1:44" s="18" customFormat="1" ht="15" customHeight="1">
      <c r="A21" s="751" t="s">
        <v>722</v>
      </c>
      <c r="B21" s="752"/>
      <c r="C21" s="211"/>
      <c r="D21" s="211"/>
      <c r="E21" s="221"/>
      <c r="F21" s="238"/>
      <c r="G21" s="211"/>
      <c r="H21" s="99"/>
      <c r="I21" s="238"/>
      <c r="J21" s="211"/>
      <c r="K21" s="99"/>
      <c r="L21" s="238"/>
      <c r="M21" s="211"/>
      <c r="N21" s="221"/>
      <c r="O21" s="779"/>
      <c r="P21" s="272">
        <f>IF($I$9="","",$I$9)</f>
      </c>
      <c r="Q21" s="83"/>
      <c r="R21" s="60"/>
      <c r="U21" s="125"/>
      <c r="V21" s="63"/>
      <c r="W21" s="83"/>
      <c r="X21" s="59"/>
      <c r="Y21" s="83"/>
      <c r="Z21" s="60"/>
      <c r="AA21" s="83"/>
      <c r="AB21" s="59"/>
      <c r="AC21" s="83"/>
      <c r="AD21" s="60"/>
      <c r="AE21" s="83"/>
      <c r="AF21" s="59"/>
      <c r="AG21" s="83"/>
      <c r="AH21" s="60"/>
      <c r="AI21" s="83"/>
      <c r="AJ21" s="59"/>
      <c r="AK21" s="83"/>
      <c r="AL21" s="65"/>
      <c r="AM21" s="65"/>
      <c r="AN21" s="65"/>
      <c r="AO21" s="30"/>
      <c r="AP21" s="21"/>
      <c r="AQ21" s="21"/>
      <c r="AR21" s="21"/>
    </row>
    <row r="22" spans="1:44" s="18" customFormat="1" ht="15" customHeight="1">
      <c r="A22" s="754" t="s">
        <v>721</v>
      </c>
      <c r="B22" s="755"/>
      <c r="C22" s="94"/>
      <c r="D22" s="135"/>
      <c r="E22" s="213"/>
      <c r="F22" s="222"/>
      <c r="G22" s="135"/>
      <c r="H22" s="94"/>
      <c r="I22" s="222"/>
      <c r="J22" s="135"/>
      <c r="K22" s="94"/>
      <c r="L22" s="222"/>
      <c r="M22" s="135"/>
      <c r="N22" s="213"/>
      <c r="O22" s="753" t="str">
        <f>+$G$10</f>
        <v>Completed</v>
      </c>
      <c r="P22" s="262">
        <f>IF($H$10="","",$H$10)</f>
      </c>
      <c r="Q22" s="83"/>
      <c r="R22" s="60"/>
      <c r="U22" s="125"/>
      <c r="V22" s="63"/>
      <c r="W22" s="83"/>
      <c r="X22" s="60"/>
      <c r="Y22" s="83"/>
      <c r="Z22" s="60"/>
      <c r="AA22" s="83"/>
      <c r="AB22" s="60"/>
      <c r="AC22" s="83"/>
      <c r="AD22" s="60"/>
      <c r="AE22" s="83"/>
      <c r="AF22" s="60"/>
      <c r="AG22" s="83"/>
      <c r="AH22" s="60"/>
      <c r="AI22" s="83"/>
      <c r="AJ22" s="60"/>
      <c r="AK22" s="83"/>
      <c r="AL22" s="65"/>
      <c r="AM22" s="65"/>
      <c r="AN22" s="65"/>
      <c r="AO22" s="30"/>
      <c r="AP22" s="21"/>
      <c r="AQ22" s="21"/>
      <c r="AR22" s="21"/>
    </row>
    <row r="23" spans="1:59" s="18" customFormat="1" ht="15" customHeight="1">
      <c r="A23" s="754" t="s">
        <v>720</v>
      </c>
      <c r="B23" s="755"/>
      <c r="C23" s="95"/>
      <c r="D23" s="135"/>
      <c r="E23" s="214"/>
      <c r="F23" s="223"/>
      <c r="G23" s="135"/>
      <c r="H23" s="95"/>
      <c r="I23" s="223"/>
      <c r="J23" s="135"/>
      <c r="K23" s="95"/>
      <c r="L23" s="223"/>
      <c r="M23" s="135"/>
      <c r="N23" s="214"/>
      <c r="O23" s="779"/>
      <c r="P23" s="272">
        <f>IF($I$10="","",$I$10)</f>
      </c>
      <c r="Q23" s="249"/>
      <c r="R23" s="60"/>
      <c r="U23" s="125"/>
      <c r="V23" s="63"/>
      <c r="W23" s="249"/>
      <c r="X23" s="60"/>
      <c r="Y23" s="249"/>
      <c r="Z23" s="60"/>
      <c r="AA23" s="249"/>
      <c r="AB23" s="60"/>
      <c r="AC23" s="249"/>
      <c r="AD23" s="60"/>
      <c r="AE23" s="249"/>
      <c r="AF23" s="60"/>
      <c r="AG23" s="249"/>
      <c r="AH23" s="60"/>
      <c r="AI23" s="249"/>
      <c r="AJ23" s="60"/>
      <c r="AK23" s="249"/>
      <c r="AL23" s="65"/>
      <c r="AM23" s="65"/>
      <c r="AN23" s="65"/>
      <c r="AO23" s="30"/>
      <c r="AP23" s="21"/>
      <c r="AQ23" s="1039"/>
      <c r="AR23" s="1039"/>
      <c r="AS23" s="1039"/>
      <c r="AT23" s="1039"/>
      <c r="AU23" s="1039"/>
      <c r="AV23" s="1039"/>
      <c r="AW23" s="1039"/>
      <c r="AX23" s="1039"/>
      <c r="AY23" s="1039"/>
      <c r="AZ23" s="1039"/>
      <c r="BA23" s="1039"/>
      <c r="BB23" s="1039"/>
      <c r="BC23" s="1039"/>
      <c r="BD23" s="1039"/>
      <c r="BE23" s="1039"/>
      <c r="BF23" s="1039"/>
      <c r="BG23" s="125"/>
    </row>
    <row r="24" spans="1:90" s="18" customFormat="1" ht="15" customHeight="1">
      <c r="A24" s="754" t="s">
        <v>723</v>
      </c>
      <c r="B24" s="710">
        <f>IF(Input!$B$6="","",IF(Input!$B$6="E","Degree F",IF(Input!$B$6="M","Degree C")))</f>
      </c>
      <c r="C24" s="94"/>
      <c r="D24" s="135"/>
      <c r="E24" s="215"/>
      <c r="F24" s="222"/>
      <c r="G24" s="135"/>
      <c r="H24" s="96"/>
      <c r="I24" s="222"/>
      <c r="J24" s="135"/>
      <c r="K24" s="96"/>
      <c r="L24" s="222"/>
      <c r="M24" s="135"/>
      <c r="N24" s="215"/>
      <c r="O24" s="758" t="s">
        <v>877</v>
      </c>
      <c r="P24" s="263"/>
      <c r="Q24" s="245"/>
      <c r="R24" s="60"/>
      <c r="S24" s="23" t="s">
        <v>861</v>
      </c>
      <c r="T24" s="791" t="s">
        <v>584</v>
      </c>
      <c r="U24" s="125"/>
      <c r="V24" s="63"/>
      <c r="W24" s="250"/>
      <c r="X24" s="71"/>
      <c r="Y24" s="250"/>
      <c r="Z24" s="60"/>
      <c r="AA24" s="250"/>
      <c r="AB24" s="60"/>
      <c r="AC24" s="250"/>
      <c r="AD24" s="60"/>
      <c r="AE24" s="250"/>
      <c r="AF24" s="60"/>
      <c r="AG24" s="250"/>
      <c r="AH24" s="60"/>
      <c r="AI24" s="250"/>
      <c r="AJ24" s="60"/>
      <c r="AK24" s="250"/>
      <c r="AL24" s="65"/>
      <c r="AM24" s="65"/>
      <c r="AN24" s="239"/>
      <c r="AO24" s="30"/>
      <c r="AP24" s="21"/>
      <c r="AQ24" s="37"/>
      <c r="AR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203"/>
      <c r="BH24" s="37"/>
      <c r="BI24" s="30"/>
      <c r="BJ24" s="37"/>
      <c r="BK24" s="30"/>
      <c r="BL24" s="37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7"/>
      <c r="CB24" s="37"/>
      <c r="CC24" s="37"/>
      <c r="CD24" s="37"/>
      <c r="CE24" s="37"/>
      <c r="CF24" s="30"/>
      <c r="CG24" s="30"/>
      <c r="CH24" s="30"/>
      <c r="CI24" s="30"/>
      <c r="CJ24" s="30"/>
      <c r="CK24" s="30"/>
      <c r="CL24" s="30"/>
    </row>
    <row r="25" spans="1:44" s="18" customFormat="1" ht="15" customHeight="1">
      <c r="A25" s="754" t="s">
        <v>724</v>
      </c>
      <c r="B25" s="710">
        <f>IF(Input!$B$6="","",IF(Input!$B$6="E","Degree F",IF(Input!$B$6="M","Degree C")))</f>
      </c>
      <c r="C25" s="201"/>
      <c r="D25" s="135"/>
      <c r="E25" s="216"/>
      <c r="F25" s="224"/>
      <c r="G25" s="135"/>
      <c r="H25" s="98"/>
      <c r="I25" s="224"/>
      <c r="J25" s="135"/>
      <c r="K25" s="98"/>
      <c r="L25" s="224"/>
      <c r="M25" s="135"/>
      <c r="N25" s="216"/>
      <c r="O25" s="259">
        <f>IF($B$9="","",$B$9)</f>
      </c>
      <c r="P25" s="759">
        <f>IF(Input!$B$6="","",IF(Input!$B$6="E","Degree F",IF(Input!$B$6="M","Degree C")))</f>
      </c>
      <c r="Q25" s="245"/>
      <c r="R25" s="60"/>
      <c r="S25" s="23" t="s">
        <v>862</v>
      </c>
      <c r="T25" s="791" t="s">
        <v>887</v>
      </c>
      <c r="U25" s="125"/>
      <c r="V25" s="63"/>
      <c r="W25" s="250"/>
      <c r="X25" s="60"/>
      <c r="Y25" s="250"/>
      <c r="Z25" s="60"/>
      <c r="AA25" s="250"/>
      <c r="AB25" s="60"/>
      <c r="AC25" s="250"/>
      <c r="AD25" s="60"/>
      <c r="AE25" s="250"/>
      <c r="AF25" s="60"/>
      <c r="AG25" s="250"/>
      <c r="AH25" s="60"/>
      <c r="AI25" s="250"/>
      <c r="AJ25" s="60"/>
      <c r="AK25" s="250"/>
      <c r="AL25" s="65"/>
      <c r="AM25" s="65"/>
      <c r="AN25" s="239"/>
      <c r="AO25" s="30"/>
      <c r="AP25" s="21"/>
      <c r="AQ25" s="21"/>
      <c r="AR25" s="21"/>
    </row>
    <row r="26" spans="1:44" s="18" customFormat="1" ht="15" customHeight="1">
      <c r="A26" s="760" t="s">
        <v>725</v>
      </c>
      <c r="B26" s="783" t="s">
        <v>861</v>
      </c>
      <c r="C26" s="204"/>
      <c r="D26" s="135"/>
      <c r="E26" s="217"/>
      <c r="F26" s="225"/>
      <c r="G26" s="135"/>
      <c r="H26" s="202"/>
      <c r="I26" s="225"/>
      <c r="J26" s="135"/>
      <c r="K26" s="202"/>
      <c r="L26" s="225"/>
      <c r="M26" s="135"/>
      <c r="N26" s="217"/>
      <c r="O26" s="756"/>
      <c r="P26" s="943" t="s">
        <v>1213</v>
      </c>
      <c r="Q26" s="250"/>
      <c r="R26" s="60"/>
      <c r="S26" s="791" t="s">
        <v>965</v>
      </c>
      <c r="T26" s="791"/>
      <c r="U26" s="125"/>
      <c r="V26" s="63"/>
      <c r="W26" s="250"/>
      <c r="X26" s="60"/>
      <c r="Y26" s="250"/>
      <c r="Z26" s="240"/>
      <c r="AA26" s="250"/>
      <c r="AB26" s="240"/>
      <c r="AC26" s="250"/>
      <c r="AD26" s="240"/>
      <c r="AE26" s="250"/>
      <c r="AF26" s="240"/>
      <c r="AG26" s="250"/>
      <c r="AH26" s="60"/>
      <c r="AI26" s="250"/>
      <c r="AJ26" s="60"/>
      <c r="AK26" s="250"/>
      <c r="AL26" s="65"/>
      <c r="AM26" s="240"/>
      <c r="AN26" s="241"/>
      <c r="AO26" s="30"/>
      <c r="AP26" s="21"/>
      <c r="AQ26" s="21"/>
      <c r="AR26" s="21"/>
    </row>
    <row r="27" spans="1:44" s="18" customFormat="1" ht="15" customHeight="1">
      <c r="A27" s="754" t="s">
        <v>726</v>
      </c>
      <c r="B27" s="783" t="s">
        <v>862</v>
      </c>
      <c r="C27" s="205"/>
      <c r="D27" s="135"/>
      <c r="E27" s="218"/>
      <c r="F27" s="226"/>
      <c r="G27" s="135"/>
      <c r="H27" s="97"/>
      <c r="I27" s="226"/>
      <c r="J27" s="135"/>
      <c r="K27" s="97"/>
      <c r="L27" s="226"/>
      <c r="M27" s="135"/>
      <c r="N27" s="218"/>
      <c r="O27" s="756"/>
      <c r="P27" s="944" t="s">
        <v>1214</v>
      </c>
      <c r="Q27" s="242"/>
      <c r="R27" s="60"/>
      <c r="S27" s="23" t="s">
        <v>854</v>
      </c>
      <c r="T27" s="791"/>
      <c r="U27" s="125"/>
      <c r="V27" s="63"/>
      <c r="W27" s="242"/>
      <c r="X27" s="60"/>
      <c r="Y27" s="242"/>
      <c r="Z27" s="60"/>
      <c r="AA27" s="242"/>
      <c r="AB27" s="60"/>
      <c r="AC27" s="242"/>
      <c r="AD27" s="60"/>
      <c r="AE27" s="242"/>
      <c r="AF27" s="60"/>
      <c r="AG27" s="242"/>
      <c r="AH27" s="60"/>
      <c r="AI27" s="242"/>
      <c r="AJ27" s="60"/>
      <c r="AK27" s="242"/>
      <c r="AL27" s="65"/>
      <c r="AM27" s="65"/>
      <c r="AN27" s="65"/>
      <c r="AO27" s="30"/>
      <c r="AP27" s="21"/>
      <c r="AQ27" s="21"/>
      <c r="AR27" s="21"/>
    </row>
    <row r="28" spans="1:44" s="18" customFormat="1" ht="15" customHeight="1">
      <c r="A28" s="754" t="s">
        <v>866</v>
      </c>
      <c r="B28" s="783" t="s">
        <v>865</v>
      </c>
      <c r="C28" s="206"/>
      <c r="D28" s="135"/>
      <c r="E28" s="215"/>
      <c r="F28" s="227"/>
      <c r="G28" s="135"/>
      <c r="H28" s="96"/>
      <c r="I28" s="227"/>
      <c r="J28" s="135"/>
      <c r="K28" s="96"/>
      <c r="L28" s="227"/>
      <c r="M28" s="135"/>
      <c r="N28" s="215"/>
      <c r="O28" s="945" t="s">
        <v>1215</v>
      </c>
      <c r="P28" s="946" t="s">
        <v>137</v>
      </c>
      <c r="Q28" s="242"/>
      <c r="R28" s="60"/>
      <c r="S28" s="791" t="s">
        <v>863</v>
      </c>
      <c r="T28" s="791"/>
      <c r="U28" s="125"/>
      <c r="V28" s="63"/>
      <c r="W28" s="242"/>
      <c r="X28" s="71"/>
      <c r="Y28" s="242"/>
      <c r="Z28" s="60"/>
      <c r="AA28" s="242"/>
      <c r="AB28" s="60"/>
      <c r="AC28" s="242"/>
      <c r="AD28" s="60"/>
      <c r="AE28" s="242"/>
      <c r="AF28" s="60"/>
      <c r="AG28" s="242"/>
      <c r="AH28" s="60"/>
      <c r="AI28" s="242"/>
      <c r="AJ28" s="60"/>
      <c r="AK28" s="242"/>
      <c r="AL28" s="65"/>
      <c r="AM28" s="65"/>
      <c r="AN28" s="243"/>
      <c r="AO28" s="30"/>
      <c r="AP28" s="21"/>
      <c r="AQ28" s="21"/>
      <c r="AR28" s="21"/>
    </row>
    <row r="29" spans="1:44" s="18" customFormat="1" ht="15" customHeight="1">
      <c r="A29" s="754" t="s">
        <v>871</v>
      </c>
      <c r="B29" s="783" t="s">
        <v>865</v>
      </c>
      <c r="C29" s="206"/>
      <c r="D29" s="135"/>
      <c r="E29" s="215"/>
      <c r="F29" s="227"/>
      <c r="G29" s="135"/>
      <c r="H29" s="96"/>
      <c r="I29" s="227"/>
      <c r="J29" s="135"/>
      <c r="K29" s="96"/>
      <c r="L29" s="227"/>
      <c r="M29" s="135"/>
      <c r="N29" s="215"/>
      <c r="O29" s="945" t="s">
        <v>1216</v>
      </c>
      <c r="P29" s="946"/>
      <c r="Q29" s="242"/>
      <c r="R29" s="60"/>
      <c r="S29" s="791" t="s">
        <v>860</v>
      </c>
      <c r="T29" s="791"/>
      <c r="U29" s="125"/>
      <c r="V29" s="63"/>
      <c r="W29" s="242"/>
      <c r="X29" s="71"/>
      <c r="Y29" s="242"/>
      <c r="Z29" s="60"/>
      <c r="AA29" s="242"/>
      <c r="AB29" s="60"/>
      <c r="AC29" s="242"/>
      <c r="AD29" s="60"/>
      <c r="AE29" s="242"/>
      <c r="AF29" s="60"/>
      <c r="AG29" s="242"/>
      <c r="AH29" s="60"/>
      <c r="AI29" s="242"/>
      <c r="AJ29" s="60"/>
      <c r="AK29" s="242"/>
      <c r="AL29" s="65"/>
      <c r="AM29" s="65"/>
      <c r="AN29" s="243"/>
      <c r="AO29" s="30"/>
      <c r="AP29" s="21"/>
      <c r="AQ29" s="21"/>
      <c r="AR29" s="21"/>
    </row>
    <row r="30" spans="1:44" s="18" customFormat="1" ht="15" customHeight="1">
      <c r="A30" s="754" t="s">
        <v>872</v>
      </c>
      <c r="B30" s="783" t="s">
        <v>865</v>
      </c>
      <c r="C30" s="206"/>
      <c r="D30" s="135"/>
      <c r="E30" s="215"/>
      <c r="F30" s="227"/>
      <c r="G30" s="135"/>
      <c r="H30" s="96"/>
      <c r="I30" s="227"/>
      <c r="J30" s="135"/>
      <c r="K30" s="96"/>
      <c r="L30" s="227"/>
      <c r="M30" s="135"/>
      <c r="N30" s="215"/>
      <c r="O30" s="945" t="s">
        <v>1217</v>
      </c>
      <c r="P30" s="946" t="s">
        <v>137</v>
      </c>
      <c r="Q30" s="242"/>
      <c r="R30" s="60"/>
      <c r="S30" s="23" t="s">
        <v>864</v>
      </c>
      <c r="T30" s="791"/>
      <c r="U30" s="125"/>
      <c r="V30" s="63"/>
      <c r="W30" s="242"/>
      <c r="X30" s="71"/>
      <c r="Y30" s="242"/>
      <c r="Z30" s="60"/>
      <c r="AA30" s="242"/>
      <c r="AB30" s="60"/>
      <c r="AC30" s="242"/>
      <c r="AD30" s="60"/>
      <c r="AE30" s="242"/>
      <c r="AF30" s="60"/>
      <c r="AG30" s="242"/>
      <c r="AH30" s="60"/>
      <c r="AI30" s="242"/>
      <c r="AJ30" s="60"/>
      <c r="AK30" s="242"/>
      <c r="AL30" s="65"/>
      <c r="AM30" s="65"/>
      <c r="AN30" s="243"/>
      <c r="AO30" s="30"/>
      <c r="AP30" s="21"/>
      <c r="AQ30" s="21"/>
      <c r="AR30" s="21"/>
    </row>
    <row r="31" spans="1:44" s="18" customFormat="1" ht="15" customHeight="1">
      <c r="A31" s="754" t="s">
        <v>873</v>
      </c>
      <c r="B31" s="783" t="s">
        <v>865</v>
      </c>
      <c r="C31" s="206"/>
      <c r="D31" s="135"/>
      <c r="E31" s="215"/>
      <c r="F31" s="227"/>
      <c r="G31" s="135"/>
      <c r="H31" s="96"/>
      <c r="I31" s="227"/>
      <c r="J31" s="135"/>
      <c r="K31" s="96"/>
      <c r="L31" s="227"/>
      <c r="M31" s="135"/>
      <c r="N31" s="215"/>
      <c r="O31" s="945" t="s">
        <v>1218</v>
      </c>
      <c r="P31" s="946"/>
      <c r="Q31" s="242"/>
      <c r="R31" s="60"/>
      <c r="S31" s="23" t="s">
        <v>855</v>
      </c>
      <c r="T31" s="791"/>
      <c r="U31" s="125"/>
      <c r="V31" s="63"/>
      <c r="W31" s="242"/>
      <c r="X31" s="60"/>
      <c r="Y31" s="242"/>
      <c r="Z31" s="241"/>
      <c r="AA31" s="242"/>
      <c r="AB31" s="241"/>
      <c r="AC31" s="242"/>
      <c r="AD31" s="241"/>
      <c r="AE31" s="242"/>
      <c r="AF31" s="241"/>
      <c r="AG31" s="242"/>
      <c r="AH31" s="241"/>
      <c r="AI31" s="242"/>
      <c r="AJ31" s="241"/>
      <c r="AK31" s="242"/>
      <c r="AL31" s="65"/>
      <c r="AM31" s="65"/>
      <c r="AN31" s="243"/>
      <c r="AO31" s="30"/>
      <c r="AP31" s="21"/>
      <c r="AQ31" s="21"/>
      <c r="AR31" s="21"/>
    </row>
    <row r="32" spans="1:44" s="18" customFormat="1" ht="15" customHeight="1">
      <c r="A32" s="754" t="s">
        <v>727</v>
      </c>
      <c r="B32" s="783" t="s">
        <v>865</v>
      </c>
      <c r="C32" s="206"/>
      <c r="D32" s="135"/>
      <c r="E32" s="215"/>
      <c r="F32" s="227"/>
      <c r="G32" s="135"/>
      <c r="H32" s="96"/>
      <c r="I32" s="227"/>
      <c r="J32" s="135"/>
      <c r="K32" s="96"/>
      <c r="L32" s="227"/>
      <c r="M32" s="135"/>
      <c r="N32" s="215"/>
      <c r="O32" s="945" t="s">
        <v>1219</v>
      </c>
      <c r="P32" s="946"/>
      <c r="Q32" s="242"/>
      <c r="R32" s="60"/>
      <c r="S32" s="23" t="s">
        <v>865</v>
      </c>
      <c r="T32" s="791"/>
      <c r="U32" s="125"/>
      <c r="V32" s="63"/>
      <c r="W32" s="242"/>
      <c r="X32" s="60"/>
      <c r="Y32" s="242"/>
      <c r="Z32" s="60"/>
      <c r="AA32" s="242"/>
      <c r="AB32" s="60"/>
      <c r="AC32" s="242"/>
      <c r="AD32" s="60"/>
      <c r="AE32" s="242"/>
      <c r="AF32" s="60"/>
      <c r="AG32" s="242"/>
      <c r="AH32" s="60"/>
      <c r="AI32" s="242"/>
      <c r="AJ32" s="60"/>
      <c r="AK32" s="242"/>
      <c r="AL32" s="65"/>
      <c r="AM32" s="65"/>
      <c r="AN32" s="243"/>
      <c r="AO32" s="30"/>
      <c r="AP32" s="21"/>
      <c r="AQ32" s="21"/>
      <c r="AR32" s="21"/>
    </row>
    <row r="33" spans="1:44" s="18" customFormat="1" ht="15" customHeight="1">
      <c r="A33" s="754" t="s">
        <v>729</v>
      </c>
      <c r="B33" s="783" t="s">
        <v>854</v>
      </c>
      <c r="C33" s="206"/>
      <c r="D33" s="135"/>
      <c r="E33" s="215"/>
      <c r="F33" s="227"/>
      <c r="G33" s="135"/>
      <c r="H33" s="96"/>
      <c r="I33" s="227"/>
      <c r="J33" s="135"/>
      <c r="K33" s="96"/>
      <c r="L33" s="227"/>
      <c r="M33" s="135"/>
      <c r="N33" s="215"/>
      <c r="O33" s="945" t="s">
        <v>1220</v>
      </c>
      <c r="P33" s="946"/>
      <c r="Q33" s="242"/>
      <c r="R33" s="60"/>
      <c r="S33" s="23" t="s">
        <v>856</v>
      </c>
      <c r="T33" s="791"/>
      <c r="U33" s="125"/>
      <c r="V33" s="63"/>
      <c r="W33" s="242"/>
      <c r="X33" s="60"/>
      <c r="Y33" s="242"/>
      <c r="Z33" s="60"/>
      <c r="AA33" s="242"/>
      <c r="AB33" s="60"/>
      <c r="AC33" s="242"/>
      <c r="AD33" s="60"/>
      <c r="AE33" s="242"/>
      <c r="AF33" s="60"/>
      <c r="AG33" s="242"/>
      <c r="AH33" s="60"/>
      <c r="AI33" s="242"/>
      <c r="AJ33" s="60"/>
      <c r="AK33" s="242"/>
      <c r="AL33" s="65"/>
      <c r="AM33" s="65"/>
      <c r="AN33" s="243"/>
      <c r="AO33" s="30"/>
      <c r="AP33" s="21"/>
      <c r="AQ33" s="21"/>
      <c r="AR33" s="21"/>
    </row>
    <row r="34" spans="1:44" s="18" customFormat="1" ht="15" customHeight="1">
      <c r="A34" s="754" t="s">
        <v>730</v>
      </c>
      <c r="B34" s="783" t="s">
        <v>854</v>
      </c>
      <c r="C34" s="206"/>
      <c r="D34" s="135"/>
      <c r="E34" s="215"/>
      <c r="F34" s="227"/>
      <c r="G34" s="135"/>
      <c r="H34" s="96"/>
      <c r="I34" s="227"/>
      <c r="J34" s="135"/>
      <c r="K34" s="96"/>
      <c r="L34" s="227"/>
      <c r="M34" s="135"/>
      <c r="N34" s="215"/>
      <c r="O34" s="945" t="s">
        <v>1221</v>
      </c>
      <c r="P34" s="946"/>
      <c r="Q34" s="242"/>
      <c r="R34" s="60"/>
      <c r="S34" s="23" t="s">
        <v>857</v>
      </c>
      <c r="T34" s="791"/>
      <c r="U34" s="125"/>
      <c r="V34" s="63"/>
      <c r="W34" s="242"/>
      <c r="X34" s="60"/>
      <c r="Y34" s="242"/>
      <c r="Z34" s="60"/>
      <c r="AA34" s="242"/>
      <c r="AB34" s="60"/>
      <c r="AC34" s="242"/>
      <c r="AD34" s="60"/>
      <c r="AE34" s="242"/>
      <c r="AF34" s="60"/>
      <c r="AG34" s="242"/>
      <c r="AH34" s="60"/>
      <c r="AI34" s="242"/>
      <c r="AJ34" s="60"/>
      <c r="AK34" s="242"/>
      <c r="AL34" s="65"/>
      <c r="AM34" s="65"/>
      <c r="AN34" s="243"/>
      <c r="AO34" s="30"/>
      <c r="AP34" s="21"/>
      <c r="AQ34" s="21"/>
      <c r="AR34" s="21"/>
    </row>
    <row r="35" spans="1:44" s="18" customFormat="1" ht="15" customHeight="1">
      <c r="A35" s="754" t="s">
        <v>732</v>
      </c>
      <c r="B35" s="783" t="s">
        <v>854</v>
      </c>
      <c r="C35" s="206"/>
      <c r="D35" s="135"/>
      <c r="E35" s="215"/>
      <c r="F35" s="227"/>
      <c r="G35" s="135"/>
      <c r="H35" s="96"/>
      <c r="I35" s="227"/>
      <c r="J35" s="135"/>
      <c r="K35" s="96"/>
      <c r="L35" s="227"/>
      <c r="M35" s="135"/>
      <c r="N35" s="215"/>
      <c r="O35" s="945" t="s">
        <v>1222</v>
      </c>
      <c r="P35" s="946"/>
      <c r="Q35" s="251"/>
      <c r="R35" s="60"/>
      <c r="S35" s="23" t="s">
        <v>858</v>
      </c>
      <c r="T35" s="791"/>
      <c r="U35" s="125"/>
      <c r="V35" s="63"/>
      <c r="W35" s="242"/>
      <c r="X35" s="60"/>
      <c r="Y35" s="242"/>
      <c r="Z35" s="60"/>
      <c r="AA35" s="242"/>
      <c r="AB35" s="60"/>
      <c r="AC35" s="242"/>
      <c r="AD35" s="60"/>
      <c r="AE35" s="242"/>
      <c r="AF35" s="60"/>
      <c r="AG35" s="242"/>
      <c r="AH35" s="60"/>
      <c r="AI35" s="242"/>
      <c r="AJ35" s="60"/>
      <c r="AK35" s="242"/>
      <c r="AL35" s="65"/>
      <c r="AM35" s="65"/>
      <c r="AN35" s="243"/>
      <c r="AO35" s="30"/>
      <c r="AP35" s="21"/>
      <c r="AQ35" s="21"/>
      <c r="AR35" s="21"/>
    </row>
    <row r="36" spans="1:44" s="18" customFormat="1" ht="15" customHeight="1">
      <c r="A36" s="754" t="s">
        <v>733</v>
      </c>
      <c r="B36" s="783" t="s">
        <v>854</v>
      </c>
      <c r="C36" s="206"/>
      <c r="D36" s="135"/>
      <c r="E36" s="215"/>
      <c r="F36" s="227"/>
      <c r="G36" s="135"/>
      <c r="H36" s="96"/>
      <c r="I36" s="227"/>
      <c r="J36" s="135"/>
      <c r="K36" s="96"/>
      <c r="L36" s="227"/>
      <c r="M36" s="135"/>
      <c r="N36" s="215"/>
      <c r="O36" s="945" t="s">
        <v>1223</v>
      </c>
      <c r="P36" s="946"/>
      <c r="Q36" s="251"/>
      <c r="R36" s="60"/>
      <c r="S36" s="23" t="s">
        <v>859</v>
      </c>
      <c r="T36" s="791"/>
      <c r="U36" s="125"/>
      <c r="V36" s="63"/>
      <c r="W36" s="242"/>
      <c r="X36" s="60"/>
      <c r="Y36" s="242"/>
      <c r="Z36" s="60"/>
      <c r="AA36" s="242"/>
      <c r="AB36" s="60"/>
      <c r="AC36" s="242"/>
      <c r="AD36" s="60"/>
      <c r="AE36" s="242"/>
      <c r="AF36" s="60"/>
      <c r="AG36" s="242"/>
      <c r="AH36" s="60"/>
      <c r="AI36" s="242"/>
      <c r="AJ36" s="60"/>
      <c r="AK36" s="242"/>
      <c r="AL36" s="65"/>
      <c r="AM36" s="65"/>
      <c r="AN36" s="243"/>
      <c r="AO36" s="30"/>
      <c r="AP36" s="21"/>
      <c r="AQ36" s="21"/>
      <c r="AR36" s="21"/>
    </row>
    <row r="37" spans="1:44" s="18" customFormat="1" ht="15" customHeight="1">
      <c r="A37" s="754" t="s">
        <v>731</v>
      </c>
      <c r="B37" s="783" t="s">
        <v>854</v>
      </c>
      <c r="C37" s="206"/>
      <c r="D37" s="135"/>
      <c r="E37" s="215"/>
      <c r="F37" s="227"/>
      <c r="G37" s="135"/>
      <c r="H37" s="96"/>
      <c r="I37" s="227"/>
      <c r="J37" s="135"/>
      <c r="K37" s="96"/>
      <c r="L37" s="227"/>
      <c r="M37" s="135"/>
      <c r="N37" s="215"/>
      <c r="O37" s="945" t="s">
        <v>1224</v>
      </c>
      <c r="P37" s="946"/>
      <c r="Q37" s="250"/>
      <c r="R37" s="60"/>
      <c r="S37" s="23" t="s">
        <v>110</v>
      </c>
      <c r="T37" s="791"/>
      <c r="U37" s="125"/>
      <c r="V37" s="63"/>
      <c r="W37" s="242"/>
      <c r="X37" s="60"/>
      <c r="Y37" s="242"/>
      <c r="Z37" s="60"/>
      <c r="AA37" s="242"/>
      <c r="AB37" s="60"/>
      <c r="AC37" s="242"/>
      <c r="AD37" s="60"/>
      <c r="AE37" s="242"/>
      <c r="AF37" s="60"/>
      <c r="AG37" s="242"/>
      <c r="AH37" s="60"/>
      <c r="AI37" s="242"/>
      <c r="AJ37" s="60"/>
      <c r="AK37" s="242"/>
      <c r="AL37" s="65"/>
      <c r="AM37" s="65"/>
      <c r="AN37" s="243"/>
      <c r="AO37" s="30"/>
      <c r="AP37" s="21"/>
      <c r="AQ37" s="21"/>
      <c r="AR37" s="21"/>
    </row>
    <row r="38" spans="1:45" s="18" customFormat="1" ht="15" customHeight="1">
      <c r="A38" s="754" t="s">
        <v>1173</v>
      </c>
      <c r="B38" s="783" t="s">
        <v>865</v>
      </c>
      <c r="C38" s="206"/>
      <c r="D38" s="135"/>
      <c r="E38" s="215"/>
      <c r="F38" s="227"/>
      <c r="G38" s="135"/>
      <c r="H38" s="96"/>
      <c r="I38" s="227"/>
      <c r="J38" s="135"/>
      <c r="K38" s="96"/>
      <c r="L38" s="227"/>
      <c r="M38" s="135"/>
      <c r="N38" s="215"/>
      <c r="O38" s="945" t="s">
        <v>1225</v>
      </c>
      <c r="P38" s="19"/>
      <c r="Q38" s="248"/>
      <c r="R38" s="60"/>
      <c r="S38" s="791" t="s">
        <v>813</v>
      </c>
      <c r="T38" s="791"/>
      <c r="U38" s="125"/>
      <c r="V38" s="63"/>
      <c r="W38" s="250"/>
      <c r="X38" s="71"/>
      <c r="Y38" s="250"/>
      <c r="Z38" s="71"/>
      <c r="AA38" s="250"/>
      <c r="AB38" s="71"/>
      <c r="AC38" s="250"/>
      <c r="AD38" s="71"/>
      <c r="AE38" s="250"/>
      <c r="AF38" s="71"/>
      <c r="AG38" s="250"/>
      <c r="AH38" s="71"/>
      <c r="AI38" s="250"/>
      <c r="AJ38" s="71"/>
      <c r="AK38" s="250"/>
      <c r="AL38" s="65"/>
      <c r="AM38" s="65"/>
      <c r="AN38" s="244"/>
      <c r="AO38" s="30"/>
      <c r="AP38" s="21"/>
      <c r="AQ38" s="21"/>
      <c r="AR38" s="21"/>
      <c r="AS38" s="21"/>
    </row>
    <row r="39" spans="1:45" s="18" customFormat="1" ht="15" customHeight="1">
      <c r="A39" s="754" t="s">
        <v>728</v>
      </c>
      <c r="B39" s="783" t="s">
        <v>864</v>
      </c>
      <c r="C39" s="206"/>
      <c r="D39" s="135"/>
      <c r="E39" s="215"/>
      <c r="F39" s="227"/>
      <c r="G39" s="135"/>
      <c r="H39" s="96"/>
      <c r="I39" s="227"/>
      <c r="J39" s="135"/>
      <c r="K39" s="96"/>
      <c r="L39" s="227"/>
      <c r="M39" s="135"/>
      <c r="N39" s="215"/>
      <c r="O39" s="945" t="s">
        <v>1226</v>
      </c>
      <c r="P39" s="19"/>
      <c r="Q39" s="242"/>
      <c r="R39" s="71"/>
      <c r="S39" s="791" t="s">
        <v>814</v>
      </c>
      <c r="T39" s="791"/>
      <c r="U39" s="125"/>
      <c r="V39" s="63"/>
      <c r="W39" s="250"/>
      <c r="X39" s="71"/>
      <c r="Y39" s="250"/>
      <c r="Z39" s="71"/>
      <c r="AA39" s="250"/>
      <c r="AB39" s="71"/>
      <c r="AC39" s="250"/>
      <c r="AD39" s="71"/>
      <c r="AE39" s="250"/>
      <c r="AF39" s="71"/>
      <c r="AG39" s="250"/>
      <c r="AH39" s="71"/>
      <c r="AI39" s="250"/>
      <c r="AJ39" s="71"/>
      <c r="AK39" s="250"/>
      <c r="AL39" s="65"/>
      <c r="AM39" s="65"/>
      <c r="AN39" s="244"/>
      <c r="AO39" s="30"/>
      <c r="AP39" s="21"/>
      <c r="AQ39" s="21"/>
      <c r="AR39" s="21"/>
      <c r="AS39" s="21"/>
    </row>
    <row r="40" spans="1:45" s="18" customFormat="1" ht="15" customHeight="1">
      <c r="A40" s="782"/>
      <c r="B40" s="784"/>
      <c r="C40" s="206"/>
      <c r="D40" s="135"/>
      <c r="E40" s="215"/>
      <c r="F40" s="227"/>
      <c r="G40" s="135"/>
      <c r="H40" s="96"/>
      <c r="I40" s="227"/>
      <c r="J40" s="135"/>
      <c r="K40" s="96"/>
      <c r="L40" s="227"/>
      <c r="M40" s="135"/>
      <c r="N40" s="215"/>
      <c r="O40" s="753" t="s">
        <v>876</v>
      </c>
      <c r="P40" s="763"/>
      <c r="R40" s="71"/>
      <c r="S40" s="791" t="s">
        <v>815</v>
      </c>
      <c r="T40" s="791"/>
      <c r="U40" s="125"/>
      <c r="V40" s="63"/>
      <c r="W40" s="251"/>
      <c r="X40" s="71"/>
      <c r="Y40" s="251"/>
      <c r="Z40" s="71"/>
      <c r="AA40" s="251"/>
      <c r="AB40" s="71"/>
      <c r="AC40" s="251"/>
      <c r="AD40" s="71"/>
      <c r="AE40" s="251"/>
      <c r="AF40" s="71"/>
      <c r="AG40" s="251"/>
      <c r="AH40" s="71"/>
      <c r="AI40" s="251"/>
      <c r="AJ40" s="71"/>
      <c r="AK40" s="251"/>
      <c r="AL40" s="65"/>
      <c r="AM40" s="65"/>
      <c r="AN40" s="244"/>
      <c r="AO40" s="30"/>
      <c r="AP40" s="21"/>
      <c r="AQ40" s="21"/>
      <c r="AR40" s="21"/>
      <c r="AS40" s="21"/>
    </row>
    <row r="41" spans="1:45" s="18" customFormat="1" ht="15" customHeight="1">
      <c r="A41" s="782"/>
      <c r="B41" s="784"/>
      <c r="C41" s="206"/>
      <c r="D41" s="135"/>
      <c r="E41" s="215"/>
      <c r="F41" s="227"/>
      <c r="G41" s="135"/>
      <c r="H41" s="96"/>
      <c r="I41" s="227"/>
      <c r="J41" s="135"/>
      <c r="K41" s="96"/>
      <c r="L41" s="227"/>
      <c r="M41" s="135"/>
      <c r="N41" s="215"/>
      <c r="O41" s="764">
        <f>IF($B$4="","",$B$4)</f>
      </c>
      <c r="P41" s="790" t="s">
        <v>856</v>
      </c>
      <c r="S41" s="791" t="s">
        <v>816</v>
      </c>
      <c r="T41" s="791"/>
      <c r="U41" s="125"/>
      <c r="V41" s="63"/>
      <c r="W41" s="251"/>
      <c r="X41" s="60"/>
      <c r="Y41" s="251"/>
      <c r="Z41" s="60"/>
      <c r="AA41" s="251"/>
      <c r="AB41" s="60"/>
      <c r="AC41" s="251"/>
      <c r="AD41" s="60"/>
      <c r="AE41" s="251"/>
      <c r="AF41" s="60"/>
      <c r="AG41" s="251"/>
      <c r="AH41" s="60"/>
      <c r="AI41" s="251"/>
      <c r="AJ41" s="60"/>
      <c r="AK41" s="251"/>
      <c r="AL41" s="65"/>
      <c r="AM41" s="65"/>
      <c r="AN41" s="232"/>
      <c r="AO41" s="30"/>
      <c r="AP41" s="21"/>
      <c r="AQ41" s="21"/>
      <c r="AR41" s="21"/>
      <c r="AS41" s="21"/>
    </row>
    <row r="42" spans="1:45" s="18" customFormat="1" ht="15" customHeight="1">
      <c r="A42" s="782"/>
      <c r="B42" s="784"/>
      <c r="C42" s="206"/>
      <c r="D42" s="135"/>
      <c r="E42" s="215"/>
      <c r="F42" s="227"/>
      <c r="G42" s="135"/>
      <c r="H42" s="96"/>
      <c r="I42" s="227"/>
      <c r="J42" s="135"/>
      <c r="K42" s="96"/>
      <c r="L42" s="227"/>
      <c r="M42" s="135"/>
      <c r="N42" s="215"/>
      <c r="O42" s="761"/>
      <c r="P42" s="762"/>
      <c r="S42" s="791" t="s">
        <v>817</v>
      </c>
      <c r="T42" s="791"/>
      <c r="U42" s="125"/>
      <c r="V42" s="63"/>
      <c r="W42" s="248"/>
      <c r="X42" s="60"/>
      <c r="Y42" s="248"/>
      <c r="Z42" s="60"/>
      <c r="AA42" s="248"/>
      <c r="AB42" s="60"/>
      <c r="AC42" s="248"/>
      <c r="AD42" s="60"/>
      <c r="AE42" s="248"/>
      <c r="AF42" s="60"/>
      <c r="AG42" s="248"/>
      <c r="AH42" s="60"/>
      <c r="AI42" s="248"/>
      <c r="AJ42" s="60"/>
      <c r="AK42" s="248"/>
      <c r="AL42" s="65"/>
      <c r="AM42" s="65"/>
      <c r="AN42" s="232"/>
      <c r="AO42" s="30"/>
      <c r="AP42" s="21"/>
      <c r="AQ42" s="21"/>
      <c r="AR42" s="21"/>
      <c r="AS42" s="21"/>
    </row>
    <row r="43" spans="1:45" s="18" customFormat="1" ht="15" customHeight="1">
      <c r="A43" s="782"/>
      <c r="B43" s="784"/>
      <c r="C43" s="206"/>
      <c r="D43" s="135"/>
      <c r="E43" s="215"/>
      <c r="F43" s="227"/>
      <c r="G43" s="135"/>
      <c r="H43" s="96"/>
      <c r="I43" s="227"/>
      <c r="J43" s="135"/>
      <c r="K43" s="96"/>
      <c r="L43" s="227"/>
      <c r="M43" s="135"/>
      <c r="N43" s="215"/>
      <c r="O43" s="753" t="s">
        <v>878</v>
      </c>
      <c r="P43" s="765"/>
      <c r="S43" s="791" t="s">
        <v>818</v>
      </c>
      <c r="T43" s="791"/>
      <c r="U43" s="125"/>
      <c r="V43" s="63"/>
      <c r="W43" s="83"/>
      <c r="X43" s="245"/>
      <c r="Y43" s="83"/>
      <c r="Z43" s="245"/>
      <c r="AA43" s="83"/>
      <c r="AB43" s="245"/>
      <c r="AC43" s="83"/>
      <c r="AD43" s="245"/>
      <c r="AE43" s="83"/>
      <c r="AF43" s="245"/>
      <c r="AG43" s="83"/>
      <c r="AH43" s="245"/>
      <c r="AI43" s="83"/>
      <c r="AJ43" s="245"/>
      <c r="AK43" s="83"/>
      <c r="AL43" s="246"/>
      <c r="AM43" s="65"/>
      <c r="AN43" s="239"/>
      <c r="AO43" s="30"/>
      <c r="AP43" s="21"/>
      <c r="AQ43" s="21"/>
      <c r="AR43" s="21"/>
      <c r="AS43" s="21"/>
    </row>
    <row r="44" spans="1:45" s="18" customFormat="1" ht="15" customHeight="1">
      <c r="A44" s="782"/>
      <c r="B44" s="784"/>
      <c r="C44" s="206"/>
      <c r="D44" s="135"/>
      <c r="E44" s="215"/>
      <c r="F44" s="227"/>
      <c r="G44" s="135"/>
      <c r="H44" s="96"/>
      <c r="I44" s="227"/>
      <c r="J44" s="135"/>
      <c r="K44" s="96"/>
      <c r="L44" s="227"/>
      <c r="M44" s="135"/>
      <c r="N44" s="215"/>
      <c r="O44" s="764">
        <f>IF($B$5="","",$B$5)</f>
      </c>
      <c r="P44" s="790" t="s">
        <v>110</v>
      </c>
      <c r="S44" s="791" t="s">
        <v>819</v>
      </c>
      <c r="T44" s="791"/>
      <c r="U44" s="125"/>
      <c r="V44" s="63"/>
      <c r="W44" s="123"/>
      <c r="X44" s="65"/>
      <c r="Y44" s="123"/>
      <c r="Z44" s="65"/>
      <c r="AA44" s="123"/>
      <c r="AB44" s="65"/>
      <c r="AC44" s="123"/>
      <c r="AD44" s="65"/>
      <c r="AE44" s="123"/>
      <c r="AF44" s="65"/>
      <c r="AG44" s="123"/>
      <c r="AH44" s="65"/>
      <c r="AI44" s="123"/>
      <c r="AJ44" s="65"/>
      <c r="AK44" s="123"/>
      <c r="AL44" s="65"/>
      <c r="AM44" s="65"/>
      <c r="AN44" s="239"/>
      <c r="AO44" s="30"/>
      <c r="AP44" s="21"/>
      <c r="AQ44" s="21"/>
      <c r="AR44" s="21"/>
      <c r="AS44" s="21"/>
    </row>
    <row r="45" spans="1:45" s="18" customFormat="1" ht="15" customHeight="1">
      <c r="A45" s="782"/>
      <c r="B45" s="784"/>
      <c r="C45" s="206"/>
      <c r="D45" s="135"/>
      <c r="E45" s="215"/>
      <c r="F45" s="227"/>
      <c r="G45" s="135"/>
      <c r="H45" s="96"/>
      <c r="I45" s="227"/>
      <c r="J45" s="135"/>
      <c r="K45" s="96"/>
      <c r="L45" s="227"/>
      <c r="M45" s="135"/>
      <c r="N45" s="215"/>
      <c r="O45" s="753" t="s">
        <v>879</v>
      </c>
      <c r="P45" s="765"/>
      <c r="S45" s="791" t="s">
        <v>820</v>
      </c>
      <c r="T45" s="791"/>
      <c r="U45" s="125"/>
      <c r="V45" s="63"/>
      <c r="W45" s="247"/>
      <c r="X45" s="65"/>
      <c r="Y45" s="247"/>
      <c r="Z45" s="65"/>
      <c r="AA45" s="247"/>
      <c r="AB45" s="65"/>
      <c r="AC45" s="247"/>
      <c r="AD45" s="65"/>
      <c r="AE45" s="247"/>
      <c r="AF45" s="65"/>
      <c r="AG45" s="247"/>
      <c r="AH45" s="65"/>
      <c r="AI45" s="247"/>
      <c r="AJ45" s="65"/>
      <c r="AK45" s="247"/>
      <c r="AL45" s="65"/>
      <c r="AM45" s="65"/>
      <c r="AN45" s="239"/>
      <c r="AO45" s="30"/>
      <c r="AP45" s="21"/>
      <c r="AQ45" s="21"/>
      <c r="AR45" s="21"/>
      <c r="AS45" s="21"/>
    </row>
    <row r="46" spans="1:45" s="18" customFormat="1" ht="15" customHeight="1" thickBot="1">
      <c r="A46" s="782"/>
      <c r="B46" s="784"/>
      <c r="C46" s="207"/>
      <c r="D46" s="212"/>
      <c r="E46" s="216"/>
      <c r="F46" s="228"/>
      <c r="G46" s="212"/>
      <c r="H46" s="98"/>
      <c r="I46" s="228"/>
      <c r="J46" s="212"/>
      <c r="K46" s="98"/>
      <c r="L46" s="228"/>
      <c r="M46" s="212"/>
      <c r="N46" s="216"/>
      <c r="O46" s="768">
        <f>IF($B$6="","",$B$6)</f>
      </c>
      <c r="P46" s="790" t="s">
        <v>110</v>
      </c>
      <c r="S46" s="791" t="s">
        <v>821</v>
      </c>
      <c r="T46" s="791"/>
      <c r="U46" s="125"/>
      <c r="V46" s="63"/>
      <c r="W46" s="251"/>
      <c r="X46" s="60"/>
      <c r="Y46" s="251"/>
      <c r="Z46" s="60"/>
      <c r="AA46" s="251"/>
      <c r="AB46" s="60"/>
      <c r="AC46" s="251"/>
      <c r="AD46" s="60"/>
      <c r="AE46" s="251"/>
      <c r="AF46" s="60"/>
      <c r="AG46" s="251"/>
      <c r="AH46" s="60"/>
      <c r="AI46" s="251"/>
      <c r="AJ46" s="60"/>
      <c r="AK46" s="251"/>
      <c r="AL46" s="65"/>
      <c r="AM46" s="65"/>
      <c r="AN46" s="239"/>
      <c r="AO46" s="30"/>
      <c r="AP46" s="21"/>
      <c r="AQ46" s="21"/>
      <c r="AR46" s="21"/>
      <c r="AS46" s="21"/>
    </row>
    <row r="47" spans="1:45" s="18" customFormat="1" ht="15" customHeight="1">
      <c r="A47" s="766" t="s">
        <v>825</v>
      </c>
      <c r="B47" s="785" t="s">
        <v>856</v>
      </c>
      <c r="C47" s="1011"/>
      <c r="D47" s="1012"/>
      <c r="E47" s="1013"/>
      <c r="F47" s="1014"/>
      <c r="G47" s="1012"/>
      <c r="H47" s="1012"/>
      <c r="I47" s="1014"/>
      <c r="J47" s="1012"/>
      <c r="K47" s="1012"/>
      <c r="L47" s="1014"/>
      <c r="M47" s="1012"/>
      <c r="N47" s="1013"/>
      <c r="O47" s="777"/>
      <c r="P47" s="947"/>
      <c r="Q47" s="83"/>
      <c r="R47" s="245"/>
      <c r="S47" s="791" t="s">
        <v>822</v>
      </c>
      <c r="T47" s="791"/>
      <c r="U47" s="125"/>
      <c r="V47" s="63"/>
      <c r="W47" s="248"/>
      <c r="X47" s="60"/>
      <c r="Y47" s="248"/>
      <c r="Z47" s="60"/>
      <c r="AA47" s="248"/>
      <c r="AB47" s="60"/>
      <c r="AC47" s="248"/>
      <c r="AD47" s="60"/>
      <c r="AE47" s="248"/>
      <c r="AF47" s="60"/>
      <c r="AG47" s="248"/>
      <c r="AH47" s="60"/>
      <c r="AI47" s="248"/>
      <c r="AJ47" s="60"/>
      <c r="AK47" s="248"/>
      <c r="AL47" s="65"/>
      <c r="AM47" s="65"/>
      <c r="AN47" s="239"/>
      <c r="AO47" s="30"/>
      <c r="AP47" s="21"/>
      <c r="AQ47" s="21"/>
      <c r="AR47" s="21"/>
      <c r="AS47" s="21"/>
    </row>
    <row r="48" spans="1:45" s="18" customFormat="1" ht="15" customHeight="1" thickBot="1">
      <c r="A48" s="767" t="s">
        <v>824</v>
      </c>
      <c r="B48" s="786" t="s">
        <v>110</v>
      </c>
      <c r="C48" s="254"/>
      <c r="D48" s="255"/>
      <c r="E48" s="256"/>
      <c r="F48" s="257"/>
      <c r="G48" s="255"/>
      <c r="H48" s="258"/>
      <c r="I48" s="257"/>
      <c r="J48" s="255"/>
      <c r="K48" s="258"/>
      <c r="L48" s="257"/>
      <c r="M48" s="255"/>
      <c r="N48" s="256"/>
      <c r="O48" s="753" t="s">
        <v>797</v>
      </c>
      <c r="P48" s="765"/>
      <c r="Q48" s="100"/>
      <c r="R48" s="60"/>
      <c r="U48" s="125"/>
      <c r="V48" s="63"/>
      <c r="W48" s="83"/>
      <c r="X48" s="245"/>
      <c r="Y48" s="83"/>
      <c r="Z48" s="245"/>
      <c r="AA48" s="83"/>
      <c r="AB48" s="245"/>
      <c r="AC48" s="83"/>
      <c r="AD48" s="245"/>
      <c r="AE48" s="83"/>
      <c r="AF48" s="245"/>
      <c r="AG48" s="83"/>
      <c r="AH48" s="245"/>
      <c r="AI48" s="83"/>
      <c r="AJ48" s="245"/>
      <c r="AK48" s="83"/>
      <c r="AL48" s="246"/>
      <c r="AM48" s="65"/>
      <c r="AN48" s="239"/>
      <c r="AO48" s="30"/>
      <c r="AP48" s="21"/>
      <c r="AQ48" s="21"/>
      <c r="AR48" s="21"/>
      <c r="AS48" s="21"/>
    </row>
    <row r="49" spans="1:45" s="18" customFormat="1" ht="15" customHeight="1">
      <c r="A49" s="754" t="s">
        <v>54</v>
      </c>
      <c r="B49" s="769"/>
      <c r="C49" s="770"/>
      <c r="D49" s="771"/>
      <c r="E49" s="772" t="s">
        <v>884</v>
      </c>
      <c r="F49" s="773"/>
      <c r="G49" s="771"/>
      <c r="H49" s="772" t="s">
        <v>884</v>
      </c>
      <c r="I49" s="773"/>
      <c r="J49" s="771"/>
      <c r="K49" s="772" t="s">
        <v>884</v>
      </c>
      <c r="L49" s="773"/>
      <c r="M49" s="771"/>
      <c r="N49" s="772" t="s">
        <v>884</v>
      </c>
      <c r="O49" s="774">
        <f>IF($B$7="","",$B$7)</f>
      </c>
      <c r="P49" s="790" t="s">
        <v>857</v>
      </c>
      <c r="Q49" s="251"/>
      <c r="R49" s="71"/>
      <c r="U49" s="125"/>
      <c r="V49" s="63"/>
      <c r="W49" s="123"/>
      <c r="X49" s="65"/>
      <c r="Y49" s="123"/>
      <c r="Z49" s="65"/>
      <c r="AA49" s="123"/>
      <c r="AB49" s="65"/>
      <c r="AC49" s="123"/>
      <c r="AD49" s="65"/>
      <c r="AE49" s="123"/>
      <c r="AF49" s="65"/>
      <c r="AG49" s="123"/>
      <c r="AH49" s="65"/>
      <c r="AI49" s="123"/>
      <c r="AJ49" s="65"/>
      <c r="AK49" s="123"/>
      <c r="AL49" s="65"/>
      <c r="AM49" s="65"/>
      <c r="AN49" s="239"/>
      <c r="AO49" s="30"/>
      <c r="AP49" s="21"/>
      <c r="AQ49" s="21"/>
      <c r="AR49" s="21"/>
      <c r="AS49" s="21"/>
    </row>
    <row r="50" spans="1:45" s="18" customFormat="1" ht="15" customHeight="1">
      <c r="A50" s="754" t="s">
        <v>826</v>
      </c>
      <c r="B50" s="783" t="s">
        <v>857</v>
      </c>
      <c r="C50" s="1007"/>
      <c r="D50" s="1002"/>
      <c r="E50" s="999"/>
      <c r="F50" s="996"/>
      <c r="G50" s="1002"/>
      <c r="H50" s="1005"/>
      <c r="I50" s="996"/>
      <c r="J50" s="1002"/>
      <c r="K50" s="1005"/>
      <c r="L50" s="996"/>
      <c r="M50" s="1002"/>
      <c r="N50" s="999"/>
      <c r="O50" s="753" t="s">
        <v>798</v>
      </c>
      <c r="P50" s="765"/>
      <c r="Q50" s="251"/>
      <c r="R50" s="60"/>
      <c r="U50" s="125"/>
      <c r="V50" s="63"/>
      <c r="W50" s="247"/>
      <c r="X50" s="65"/>
      <c r="Y50" s="247"/>
      <c r="Z50" s="65"/>
      <c r="AA50" s="247"/>
      <c r="AB50" s="65"/>
      <c r="AC50" s="247"/>
      <c r="AD50" s="65"/>
      <c r="AE50" s="247"/>
      <c r="AF50" s="65"/>
      <c r="AG50" s="247"/>
      <c r="AH50" s="65"/>
      <c r="AI50" s="247"/>
      <c r="AJ50" s="65"/>
      <c r="AK50" s="247"/>
      <c r="AL50" s="65"/>
      <c r="AM50" s="65"/>
      <c r="AN50" s="239"/>
      <c r="AO50" s="30"/>
      <c r="AP50" s="21"/>
      <c r="AQ50" s="21"/>
      <c r="AR50" s="21"/>
      <c r="AS50" s="21"/>
    </row>
    <row r="51" spans="1:45" s="18" customFormat="1" ht="15" customHeight="1">
      <c r="A51" s="754" t="s">
        <v>841</v>
      </c>
      <c r="B51" s="253"/>
      <c r="C51" s="1016"/>
      <c r="D51" s="1003"/>
      <c r="E51" s="1000"/>
      <c r="F51" s="997"/>
      <c r="G51" s="1003"/>
      <c r="H51" s="1006"/>
      <c r="I51" s="997"/>
      <c r="J51" s="1003"/>
      <c r="K51" s="1006"/>
      <c r="L51" s="997"/>
      <c r="M51" s="1003"/>
      <c r="N51" s="1000"/>
      <c r="O51" s="774">
        <f>IF($B$8="","",$B$8)</f>
      </c>
      <c r="P51" s="790" t="s">
        <v>857</v>
      </c>
      <c r="Q51" s="248"/>
      <c r="R51" s="60"/>
      <c r="U51" s="125"/>
      <c r="V51" s="63"/>
      <c r="W51" s="251"/>
      <c r="X51" s="60"/>
      <c r="Y51" s="251"/>
      <c r="Z51" s="60"/>
      <c r="AA51" s="251"/>
      <c r="AB51" s="60"/>
      <c r="AC51" s="251"/>
      <c r="AD51" s="60"/>
      <c r="AE51" s="251"/>
      <c r="AF51" s="60"/>
      <c r="AG51" s="251"/>
      <c r="AH51" s="60"/>
      <c r="AI51" s="251"/>
      <c r="AJ51" s="60"/>
      <c r="AK51" s="251"/>
      <c r="AL51" s="65"/>
      <c r="AM51" s="65"/>
      <c r="AN51" s="239"/>
      <c r="AO51" s="30"/>
      <c r="AP51" s="21"/>
      <c r="AQ51" s="21"/>
      <c r="AR51" s="21"/>
      <c r="AS51" s="21"/>
    </row>
    <row r="52" spans="1:45" s="18" customFormat="1" ht="15" customHeight="1">
      <c r="A52" s="775" t="s">
        <v>843</v>
      </c>
      <c r="B52" s="787" t="s">
        <v>859</v>
      </c>
      <c r="C52" s="1017"/>
      <c r="D52" s="1004"/>
      <c r="E52" s="1001"/>
      <c r="F52" s="998"/>
      <c r="G52" s="1004"/>
      <c r="H52" s="281"/>
      <c r="I52" s="998"/>
      <c r="J52" s="1004"/>
      <c r="K52" s="281"/>
      <c r="L52" s="998"/>
      <c r="M52" s="1004"/>
      <c r="N52" s="1001"/>
      <c r="O52" s="948" t="s">
        <v>1227</v>
      </c>
      <c r="P52" s="19"/>
      <c r="Q52" s="245"/>
      <c r="R52" s="245"/>
      <c r="U52" s="125"/>
      <c r="V52" s="63"/>
      <c r="W52" s="248"/>
      <c r="X52" s="71"/>
      <c r="Y52" s="248"/>
      <c r="Z52" s="71"/>
      <c r="AA52" s="248"/>
      <c r="AB52" s="71"/>
      <c r="AC52" s="248"/>
      <c r="AD52" s="71"/>
      <c r="AE52" s="248"/>
      <c r="AF52" s="71"/>
      <c r="AG52" s="248"/>
      <c r="AH52" s="71"/>
      <c r="AI52" s="248"/>
      <c r="AJ52" s="71"/>
      <c r="AK52" s="248"/>
      <c r="AL52" s="65"/>
      <c r="AM52" s="65"/>
      <c r="AN52" s="239"/>
      <c r="AO52" s="30"/>
      <c r="AP52" s="21"/>
      <c r="AQ52" s="21"/>
      <c r="AR52" s="21"/>
      <c r="AS52" s="21"/>
    </row>
    <row r="53" spans="1:45" s="18" customFormat="1" ht="15" customHeight="1">
      <c r="A53" s="754"/>
      <c r="B53" s="941"/>
      <c r="C53" s="119"/>
      <c r="D53" s="656"/>
      <c r="E53" s="121"/>
      <c r="F53" s="229"/>
      <c r="G53" s="656"/>
      <c r="H53" s="776"/>
      <c r="I53" s="229"/>
      <c r="J53" s="656"/>
      <c r="K53" s="776"/>
      <c r="L53" s="229"/>
      <c r="M53" s="656"/>
      <c r="N53" s="121"/>
      <c r="O53" s="949" t="s">
        <v>1228</v>
      </c>
      <c r="P53" s="950"/>
      <c r="Q53" s="123"/>
      <c r="R53" s="65"/>
      <c r="U53" s="125"/>
      <c r="V53" s="63"/>
      <c r="W53" s="83"/>
      <c r="X53" s="245"/>
      <c r="Y53" s="83"/>
      <c r="Z53" s="245"/>
      <c r="AA53" s="83"/>
      <c r="AB53" s="245"/>
      <c r="AC53" s="83"/>
      <c r="AD53" s="245"/>
      <c r="AE53" s="83"/>
      <c r="AF53" s="245"/>
      <c r="AG53" s="83"/>
      <c r="AH53" s="245"/>
      <c r="AI53" s="83"/>
      <c r="AJ53" s="245"/>
      <c r="AK53" s="83"/>
      <c r="AL53" s="246"/>
      <c r="AM53" s="65"/>
      <c r="AN53" s="239"/>
      <c r="AO53" s="30"/>
      <c r="AP53" s="21"/>
      <c r="AQ53" s="21"/>
      <c r="AR53" s="21"/>
      <c r="AS53" s="21"/>
    </row>
    <row r="54" spans="1:45" s="18" customFormat="1" ht="15" customHeight="1">
      <c r="A54" s="754" t="s">
        <v>53</v>
      </c>
      <c r="B54" s="942"/>
      <c r="C54" s="120"/>
      <c r="D54" s="656"/>
      <c r="E54" s="772" t="s">
        <v>884</v>
      </c>
      <c r="F54" s="773"/>
      <c r="G54" s="771"/>
      <c r="H54" s="772" t="s">
        <v>884</v>
      </c>
      <c r="I54" s="773"/>
      <c r="J54" s="771"/>
      <c r="K54" s="772" t="s">
        <v>884</v>
      </c>
      <c r="L54" s="773"/>
      <c r="M54" s="771"/>
      <c r="N54" s="772" t="s">
        <v>884</v>
      </c>
      <c r="O54" s="951" t="s">
        <v>1229</v>
      </c>
      <c r="P54" s="952"/>
      <c r="Q54" s="247"/>
      <c r="R54" s="65"/>
      <c r="S54" s="8"/>
      <c r="T54" s="8"/>
      <c r="U54" s="60"/>
      <c r="V54" s="63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5"/>
      <c r="AM54" s="65"/>
      <c r="AN54" s="65"/>
      <c r="AO54" s="30"/>
      <c r="AP54" s="21"/>
      <c r="AQ54" s="21"/>
      <c r="AR54" s="21"/>
      <c r="AS54" s="21"/>
    </row>
    <row r="55" spans="1:45" s="18" customFormat="1" ht="12.75">
      <c r="A55" s="754" t="s">
        <v>826</v>
      </c>
      <c r="B55" s="783" t="s">
        <v>857</v>
      </c>
      <c r="C55" s="1007"/>
      <c r="D55" s="1002"/>
      <c r="E55" s="999"/>
      <c r="F55" s="1015"/>
      <c r="G55" s="1002"/>
      <c r="H55" s="999"/>
      <c r="I55" s="1015"/>
      <c r="J55" s="1002"/>
      <c r="K55" s="999"/>
      <c r="L55" s="1015"/>
      <c r="M55" s="1002"/>
      <c r="N55" s="999"/>
      <c r="O55" s="953"/>
      <c r="P55" s="954"/>
      <c r="S55" s="71"/>
      <c r="T55" s="63"/>
      <c r="U55" s="60"/>
      <c r="V55" s="63"/>
      <c r="W55" s="60"/>
      <c r="X55" s="60"/>
      <c r="Y55" s="60"/>
      <c r="Z55" s="60"/>
      <c r="AA55" s="60"/>
      <c r="AB55" s="60"/>
      <c r="AC55" s="252"/>
      <c r="AD55" s="60"/>
      <c r="AE55" s="60"/>
      <c r="AF55" s="60"/>
      <c r="AG55" s="60"/>
      <c r="AH55" s="60"/>
      <c r="AI55" s="71"/>
      <c r="AJ55" s="71"/>
      <c r="AK55" s="71"/>
      <c r="AL55" s="71"/>
      <c r="AM55" s="63"/>
      <c r="AN55" s="60"/>
      <c r="AO55" s="30"/>
      <c r="AP55" s="21"/>
      <c r="AQ55" s="21"/>
      <c r="AR55" s="21"/>
      <c r="AS55" s="21"/>
    </row>
    <row r="56" spans="1:45" s="18" customFormat="1" ht="12.75">
      <c r="A56" s="754" t="s">
        <v>841</v>
      </c>
      <c r="B56" s="253"/>
      <c r="C56" s="1016"/>
      <c r="D56" s="1003"/>
      <c r="E56" s="1000"/>
      <c r="F56" s="997"/>
      <c r="G56" s="1003"/>
      <c r="H56" s="1000"/>
      <c r="I56" s="997"/>
      <c r="J56" s="1003"/>
      <c r="K56" s="1000"/>
      <c r="L56" s="997"/>
      <c r="M56" s="1003"/>
      <c r="N56" s="1000"/>
      <c r="O56" s="948" t="s">
        <v>1230</v>
      </c>
      <c r="P56" s="19"/>
      <c r="S56" s="8"/>
      <c r="T56" s="8"/>
      <c r="U56" s="8"/>
      <c r="V56" s="8"/>
      <c r="W56" s="20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61"/>
      <c r="AN56" s="61"/>
      <c r="AO56" s="21"/>
      <c r="AP56" s="21"/>
      <c r="AQ56" s="21"/>
      <c r="AR56" s="21"/>
      <c r="AS56" s="21"/>
    </row>
    <row r="57" spans="1:45" s="18" customFormat="1" ht="12.75">
      <c r="A57" s="775" t="s">
        <v>843</v>
      </c>
      <c r="B57" s="787" t="s">
        <v>859</v>
      </c>
      <c r="C57" s="1017"/>
      <c r="D57" s="1004"/>
      <c r="E57" s="1001"/>
      <c r="F57" s="998"/>
      <c r="G57" s="1004"/>
      <c r="H57" s="1001"/>
      <c r="I57" s="998"/>
      <c r="J57" s="1004"/>
      <c r="K57" s="1001"/>
      <c r="L57" s="998"/>
      <c r="M57" s="1004"/>
      <c r="N57" s="1001"/>
      <c r="O57" s="949" t="s">
        <v>1231</v>
      </c>
      <c r="P57" s="165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61"/>
      <c r="AN57" s="61"/>
      <c r="AO57" s="21"/>
      <c r="AP57" s="21"/>
      <c r="AQ57" s="21"/>
      <c r="AR57" s="21"/>
      <c r="AS57" s="21"/>
    </row>
    <row r="58" spans="1:45" s="18" customFormat="1" ht="12.75">
      <c r="A58" s="754"/>
      <c r="B58" s="941"/>
      <c r="C58" s="119"/>
      <c r="D58" s="656"/>
      <c r="E58" s="121"/>
      <c r="F58" s="229"/>
      <c r="G58" s="656"/>
      <c r="H58" s="121"/>
      <c r="I58" s="229"/>
      <c r="J58" s="656"/>
      <c r="K58" s="121"/>
      <c r="L58" s="229"/>
      <c r="M58" s="656"/>
      <c r="N58" s="121"/>
      <c r="O58" s="955"/>
      <c r="P58" s="954"/>
      <c r="Q58" s="8"/>
      <c r="R58" s="8"/>
      <c r="S58" s="59"/>
      <c r="T58" s="59"/>
      <c r="U58" s="59"/>
      <c r="V58" s="60"/>
      <c r="W58" s="60"/>
      <c r="X58" s="231"/>
      <c r="Y58" s="60"/>
      <c r="Z58" s="231"/>
      <c r="AA58" s="60"/>
      <c r="AB58" s="231"/>
      <c r="AC58" s="60"/>
      <c r="AD58" s="231"/>
      <c r="AE58" s="60"/>
      <c r="AF58" s="231"/>
      <c r="AG58" s="60"/>
      <c r="AH58" s="231"/>
      <c r="AI58" s="60"/>
      <c r="AJ58" s="231"/>
      <c r="AK58" s="60"/>
      <c r="AL58" s="231"/>
      <c r="AM58" s="65"/>
      <c r="AN58" s="65"/>
      <c r="AO58" s="30"/>
      <c r="AP58" s="21"/>
      <c r="AQ58" s="21"/>
      <c r="AR58" s="21"/>
      <c r="AS58" s="21"/>
    </row>
    <row r="59" spans="1:45" s="18" customFormat="1" ht="12.75">
      <c r="A59" s="754" t="s">
        <v>52</v>
      </c>
      <c r="B59" s="942"/>
      <c r="C59" s="120"/>
      <c r="D59" s="656"/>
      <c r="E59" s="122" t="s">
        <v>885</v>
      </c>
      <c r="F59" s="230"/>
      <c r="G59" s="656"/>
      <c r="H59" s="122" t="s">
        <v>885</v>
      </c>
      <c r="I59" s="230"/>
      <c r="J59" s="656"/>
      <c r="K59" s="122" t="s">
        <v>885</v>
      </c>
      <c r="L59" s="230"/>
      <c r="M59" s="656"/>
      <c r="N59" s="122" t="s">
        <v>885</v>
      </c>
      <c r="O59" s="948" t="s">
        <v>1232</v>
      </c>
      <c r="P59" s="19"/>
      <c r="Q59" s="71"/>
      <c r="R59" s="71"/>
      <c r="S59" s="233"/>
      <c r="T59" s="59"/>
      <c r="U59" s="59"/>
      <c r="V59" s="60"/>
      <c r="W59" s="60"/>
      <c r="X59" s="232"/>
      <c r="Y59" s="60"/>
      <c r="Z59" s="232"/>
      <c r="AA59" s="60"/>
      <c r="AB59" s="232"/>
      <c r="AC59" s="60"/>
      <c r="AD59" s="232"/>
      <c r="AE59" s="60"/>
      <c r="AF59" s="232"/>
      <c r="AG59" s="60"/>
      <c r="AH59" s="232"/>
      <c r="AI59" s="60"/>
      <c r="AJ59" s="232"/>
      <c r="AK59" s="60"/>
      <c r="AL59" s="232"/>
      <c r="AM59" s="234"/>
      <c r="AN59" s="65"/>
      <c r="AO59" s="30"/>
      <c r="AP59" s="21"/>
      <c r="AQ59" s="21"/>
      <c r="AR59" s="21"/>
      <c r="AS59" s="21"/>
    </row>
    <row r="60" spans="1:45" s="18" customFormat="1" ht="12.75">
      <c r="A60" s="754" t="s">
        <v>826</v>
      </c>
      <c r="B60" s="783" t="s">
        <v>857</v>
      </c>
      <c r="C60" s="1007"/>
      <c r="D60" s="1002"/>
      <c r="E60" s="999"/>
      <c r="F60" s="996"/>
      <c r="G60" s="1002"/>
      <c r="H60" s="999"/>
      <c r="I60" s="996"/>
      <c r="J60" s="1002"/>
      <c r="K60" s="999"/>
      <c r="L60" s="996"/>
      <c r="M60" s="1002"/>
      <c r="N60" s="999"/>
      <c r="O60" s="956"/>
      <c r="P60" s="957"/>
      <c r="Q60" s="8"/>
      <c r="R60" s="8"/>
      <c r="S60" s="233"/>
      <c r="T60" s="59"/>
      <c r="U60" s="59"/>
      <c r="V60" s="60"/>
      <c r="W60" s="60"/>
      <c r="X60" s="235"/>
      <c r="Y60" s="60"/>
      <c r="Z60" s="235"/>
      <c r="AA60" s="60"/>
      <c r="AB60" s="235"/>
      <c r="AC60" s="60"/>
      <c r="AD60" s="235"/>
      <c r="AE60" s="60"/>
      <c r="AF60" s="235"/>
      <c r="AG60" s="60"/>
      <c r="AH60" s="235"/>
      <c r="AI60" s="60"/>
      <c r="AJ60" s="235"/>
      <c r="AK60" s="60"/>
      <c r="AL60" s="235"/>
      <c r="AM60" s="234"/>
      <c r="AN60" s="65"/>
      <c r="AO60" s="30"/>
      <c r="AP60" s="21"/>
      <c r="AQ60" s="21"/>
      <c r="AR60" s="21"/>
      <c r="AS60" s="21"/>
    </row>
    <row r="61" spans="1:45" s="18" customFormat="1" ht="12.75">
      <c r="A61" s="754" t="s">
        <v>841</v>
      </c>
      <c r="B61" s="253"/>
      <c r="C61" s="1016"/>
      <c r="D61" s="1003"/>
      <c r="E61" s="1000"/>
      <c r="F61" s="997"/>
      <c r="G61" s="1003"/>
      <c r="H61" s="1000"/>
      <c r="I61" s="997"/>
      <c r="J61" s="1003"/>
      <c r="K61" s="1000"/>
      <c r="L61" s="997"/>
      <c r="M61" s="1003"/>
      <c r="N61" s="1000"/>
      <c r="O61" s="958" t="s">
        <v>883</v>
      </c>
      <c r="P61" s="959"/>
      <c r="Q61" s="8"/>
      <c r="R61" s="8"/>
      <c r="S61" s="101"/>
      <c r="T61" s="101"/>
      <c r="U61" s="101"/>
      <c r="V61" s="60"/>
      <c r="W61" s="60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30"/>
      <c r="AP61" s="21"/>
      <c r="AQ61" s="21"/>
      <c r="AR61" s="21"/>
      <c r="AS61" s="21"/>
    </row>
    <row r="62" spans="1:45" s="18" customFormat="1" ht="12.75">
      <c r="A62" s="775" t="s">
        <v>843</v>
      </c>
      <c r="B62" s="787" t="s">
        <v>859</v>
      </c>
      <c r="C62" s="1017"/>
      <c r="D62" s="1004"/>
      <c r="E62" s="1001"/>
      <c r="F62" s="998"/>
      <c r="G62" s="1004"/>
      <c r="H62" s="1001"/>
      <c r="I62" s="998"/>
      <c r="J62" s="1004"/>
      <c r="K62" s="1001"/>
      <c r="L62" s="998"/>
      <c r="M62" s="1004"/>
      <c r="N62" s="1001"/>
      <c r="O62" s="960">
        <f>IF($H$11="","",$H$11)</f>
      </c>
      <c r="P62" s="759">
        <f>IF(Input!$B$6="","",IF(Input!$B$6="E","Degree F",IF(Input!$B$6="M","Degree C")))</f>
      </c>
      <c r="Q62" s="59"/>
      <c r="R62" s="231"/>
      <c r="S62" s="59"/>
      <c r="T62" s="59"/>
      <c r="U62" s="59"/>
      <c r="V62" s="60"/>
      <c r="W62" s="60"/>
      <c r="X62" s="193"/>
      <c r="Y62" s="60"/>
      <c r="Z62" s="193"/>
      <c r="AA62" s="60"/>
      <c r="AB62" s="193"/>
      <c r="AC62" s="60"/>
      <c r="AD62" s="193"/>
      <c r="AE62" s="60"/>
      <c r="AF62" s="193"/>
      <c r="AG62" s="60"/>
      <c r="AH62" s="193"/>
      <c r="AI62" s="60"/>
      <c r="AJ62" s="193"/>
      <c r="AK62" s="60"/>
      <c r="AL62" s="193"/>
      <c r="AM62" s="234"/>
      <c r="AN62" s="65"/>
      <c r="AO62" s="30"/>
      <c r="AP62" s="21"/>
      <c r="AQ62" s="21"/>
      <c r="AR62" s="21"/>
      <c r="AS62" s="21"/>
    </row>
    <row r="63" spans="1:45" s="18" customFormat="1" ht="12.75">
      <c r="A63" s="706"/>
      <c r="B63" s="656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56"/>
      <c r="P63" s="656"/>
      <c r="Q63" s="59"/>
      <c r="R63" s="232"/>
      <c r="S63" s="59"/>
      <c r="T63" s="59"/>
      <c r="U63" s="59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5"/>
      <c r="AN63" s="65"/>
      <c r="AO63" s="30"/>
      <c r="AP63" s="21"/>
      <c r="AQ63" s="21"/>
      <c r="AR63" s="21"/>
      <c r="AS63" s="21"/>
    </row>
    <row r="64" spans="1:45" s="18" customFormat="1" ht="12.75">
      <c r="A64" s="706" t="s">
        <v>842</v>
      </c>
      <c r="B64" s="656"/>
      <c r="C64" s="124"/>
      <c r="D64" s="788"/>
      <c r="E64" s="788"/>
      <c r="F64" s="788"/>
      <c r="G64" s="788"/>
      <c r="H64" s="788"/>
      <c r="I64" s="788"/>
      <c r="J64" s="789"/>
      <c r="K64" s="788"/>
      <c r="L64" s="788"/>
      <c r="M64" s="788"/>
      <c r="N64" s="788"/>
      <c r="O64" s="788"/>
      <c r="P64" s="788"/>
      <c r="Q64" s="59"/>
      <c r="R64" s="235"/>
      <c r="S64" s="59"/>
      <c r="T64" s="59"/>
      <c r="U64" s="59"/>
      <c r="V64" s="60"/>
      <c r="W64" s="60"/>
      <c r="X64" s="237"/>
      <c r="Y64" s="60"/>
      <c r="Z64" s="237"/>
      <c r="AA64" s="60"/>
      <c r="AB64" s="237"/>
      <c r="AC64" s="60"/>
      <c r="AD64" s="237"/>
      <c r="AE64" s="60"/>
      <c r="AF64" s="237"/>
      <c r="AG64" s="60"/>
      <c r="AH64" s="237"/>
      <c r="AI64" s="60"/>
      <c r="AJ64" s="237"/>
      <c r="AK64" s="60"/>
      <c r="AL64" s="237"/>
      <c r="AM64" s="65"/>
      <c r="AN64" s="65"/>
      <c r="AO64" s="30"/>
      <c r="AP64" s="21"/>
      <c r="AQ64" s="21"/>
      <c r="AR64" s="21"/>
      <c r="AS64" s="21"/>
    </row>
    <row r="65" spans="1:45" s="18" customFormat="1" ht="12.75">
      <c r="A65" s="61"/>
      <c r="B65" s="656"/>
      <c r="C65" s="320"/>
      <c r="D65" s="231"/>
      <c r="E65" s="239"/>
      <c r="F65" s="231"/>
      <c r="G65" s="239"/>
      <c r="H65" s="231"/>
      <c r="I65" s="239"/>
      <c r="J65" s="231"/>
      <c r="K65" s="239"/>
      <c r="L65" s="231"/>
      <c r="M65" s="239"/>
      <c r="N65" s="231"/>
      <c r="O65" s="656"/>
      <c r="P65" s="656"/>
      <c r="Q65" s="101"/>
      <c r="R65" s="101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5"/>
      <c r="AN65" s="65"/>
      <c r="AO65" s="30"/>
      <c r="AP65" s="21"/>
      <c r="AQ65" s="21"/>
      <c r="AR65" s="21"/>
      <c r="AS65" s="21"/>
    </row>
    <row r="66" spans="1:45" s="18" customFormat="1" ht="12.75">
      <c r="A66" s="458"/>
      <c r="B66" s="458"/>
      <c r="C66" s="458"/>
      <c r="D66" s="468"/>
      <c r="E66" s="468"/>
      <c r="F66" s="458"/>
      <c r="G66" s="656"/>
      <c r="H66" s="656"/>
      <c r="I66" s="656"/>
      <c r="J66" s="780"/>
      <c r="K66" s="239"/>
      <c r="L66" s="780"/>
      <c r="M66" s="533" t="s">
        <v>967</v>
      </c>
      <c r="N66" s="534">
        <f>+IF(Input!E14="","",Input!E14)</f>
      </c>
      <c r="O66" s="536"/>
      <c r="P66" s="656"/>
      <c r="Q66" s="59"/>
      <c r="R66" s="193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5"/>
      <c r="AN66" s="65"/>
      <c r="AO66" s="30"/>
      <c r="AP66" s="21"/>
      <c r="AQ66" s="21"/>
      <c r="AR66" s="21"/>
      <c r="AS66" s="21"/>
    </row>
    <row r="67" spans="1:45" s="18" customFormat="1" ht="12.75">
      <c r="A67" s="3"/>
      <c r="B67" s="3"/>
      <c r="C67"/>
      <c r="D67"/>
      <c r="E67"/>
      <c r="F67"/>
      <c r="G67"/>
      <c r="H67"/>
      <c r="I67"/>
      <c r="J67" s="59"/>
      <c r="K67" s="59"/>
      <c r="L67" s="59"/>
      <c r="M67" s="59"/>
      <c r="N67" s="59"/>
      <c r="Q67" s="59"/>
      <c r="R67" s="59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5"/>
      <c r="AN67" s="65"/>
      <c r="AO67" s="30"/>
      <c r="AP67" s="21"/>
      <c r="AQ67" s="21"/>
      <c r="AR67" s="21"/>
      <c r="AS67" s="21"/>
    </row>
    <row r="68" spans="1:45" s="18" customFormat="1" ht="12.75">
      <c r="A68" s="8"/>
      <c r="C68" s="63"/>
      <c r="D68" s="236"/>
      <c r="E68" s="59"/>
      <c r="F68" s="236"/>
      <c r="G68" s="59"/>
      <c r="H68" s="236"/>
      <c r="I68" s="59"/>
      <c r="J68" s="236"/>
      <c r="K68" s="59"/>
      <c r="L68" s="236"/>
      <c r="M68" s="59"/>
      <c r="N68" s="236"/>
      <c r="Q68" s="59"/>
      <c r="R68" s="236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5"/>
      <c r="AN68" s="65"/>
      <c r="AO68" s="30"/>
      <c r="AP68" s="21"/>
      <c r="AQ68" s="21"/>
      <c r="AR68" s="21"/>
      <c r="AS68" s="21"/>
    </row>
    <row r="69" spans="1:45" s="18" customFormat="1" ht="12.75">
      <c r="A69" s="8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5"/>
      <c r="AN69" s="65"/>
      <c r="AO69" s="30"/>
      <c r="AP69" s="21"/>
      <c r="AQ69" s="21"/>
      <c r="AR69" s="21"/>
      <c r="AS69" s="21"/>
    </row>
    <row r="70" spans="1:45" s="18" customFormat="1" ht="12.75">
      <c r="A70" s="8"/>
      <c r="C70" s="100"/>
      <c r="D70" s="100"/>
      <c r="E70" s="100"/>
      <c r="F70" s="100"/>
      <c r="G70" s="60"/>
      <c r="H70" s="100"/>
      <c r="I70" s="60"/>
      <c r="J70" s="60"/>
      <c r="K70" s="60"/>
      <c r="L70" s="60"/>
      <c r="M70" s="60"/>
      <c r="N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5"/>
      <c r="AN70" s="65"/>
      <c r="AO70" s="30"/>
      <c r="AP70" s="21"/>
      <c r="AQ70" s="21"/>
      <c r="AR70" s="21"/>
      <c r="AS70" s="21"/>
    </row>
    <row r="71" spans="1:45" s="18" customFormat="1" ht="12.75">
      <c r="A71" s="60"/>
      <c r="B71" s="125"/>
      <c r="C71" s="100"/>
      <c r="D71" s="100"/>
      <c r="E71" s="100"/>
      <c r="F71" s="100"/>
      <c r="G71" s="100"/>
      <c r="H71" s="100"/>
      <c r="I71" s="60"/>
      <c r="J71" s="100"/>
      <c r="K71" s="100"/>
      <c r="L71" s="100"/>
      <c r="M71" s="100"/>
      <c r="N71" s="10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5"/>
      <c r="AN71" s="65"/>
      <c r="AO71" s="30"/>
      <c r="AP71" s="21"/>
      <c r="AQ71" s="21"/>
      <c r="AR71" s="21"/>
      <c r="AS71" s="21"/>
    </row>
    <row r="72" spans="1:45" s="18" customFormat="1" ht="12.75">
      <c r="A72" s="60"/>
      <c r="B72" s="125"/>
      <c r="C72" s="100"/>
      <c r="D72" s="100"/>
      <c r="E72" s="100"/>
      <c r="F72" s="100"/>
      <c r="G72" s="100"/>
      <c r="H72" s="10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5"/>
      <c r="AN72" s="65"/>
      <c r="AO72" s="30"/>
      <c r="AP72" s="21"/>
      <c r="AQ72" s="21"/>
      <c r="AR72" s="21"/>
      <c r="AS72" s="21"/>
    </row>
    <row r="73" spans="1:45" s="18" customFormat="1" ht="12.75">
      <c r="A73" s="60"/>
      <c r="B73" s="125"/>
      <c r="C73" s="100"/>
      <c r="D73" s="100"/>
      <c r="E73" s="100"/>
      <c r="F73" s="100"/>
      <c r="G73" s="100"/>
      <c r="H73" s="10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5"/>
      <c r="AN73" s="65"/>
      <c r="AO73" s="30"/>
      <c r="AP73" s="21"/>
      <c r="AQ73" s="21"/>
      <c r="AR73" s="21"/>
      <c r="AS73" s="21"/>
    </row>
    <row r="74" spans="1:45" s="18" customFormat="1" ht="12.75">
      <c r="A74" s="60"/>
      <c r="B74" s="125"/>
      <c r="C74" s="100"/>
      <c r="D74" s="100"/>
      <c r="E74" s="100"/>
      <c r="F74" s="100"/>
      <c r="G74" s="100"/>
      <c r="H74" s="10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5"/>
      <c r="AN74" s="65"/>
      <c r="AO74" s="30"/>
      <c r="AP74" s="21"/>
      <c r="AQ74" s="21"/>
      <c r="AR74" s="21"/>
      <c r="AS74" s="21"/>
    </row>
    <row r="75" spans="1:45" s="18" customFormat="1" ht="12.75">
      <c r="A75" s="60"/>
      <c r="B75" s="125"/>
      <c r="C75" s="100"/>
      <c r="D75" s="100"/>
      <c r="E75" s="100"/>
      <c r="F75" s="100"/>
      <c r="G75" s="100"/>
      <c r="H75" s="10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61"/>
      <c r="AN75" s="61"/>
      <c r="AO75" s="21"/>
      <c r="AP75" s="21"/>
      <c r="AQ75" s="21"/>
      <c r="AR75" s="21"/>
      <c r="AS75" s="21"/>
    </row>
    <row r="76" spans="1:45" s="18" customFormat="1" ht="12.75">
      <c r="A76" s="60"/>
      <c r="B76" s="125"/>
      <c r="C76" s="100"/>
      <c r="D76" s="100"/>
      <c r="E76" s="100"/>
      <c r="F76" s="100"/>
      <c r="G76" s="100"/>
      <c r="H76" s="10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61"/>
      <c r="AN76" s="61"/>
      <c r="AO76" s="21"/>
      <c r="AP76" s="21"/>
      <c r="AQ76" s="21"/>
      <c r="AR76" s="21"/>
      <c r="AS76" s="21"/>
    </row>
    <row r="77" spans="1:45" s="18" customFormat="1" ht="12.75">
      <c r="A77" s="60"/>
      <c r="B77" s="125"/>
      <c r="C77" s="100"/>
      <c r="D77" s="100"/>
      <c r="E77" s="100"/>
      <c r="F77" s="100"/>
      <c r="G77" s="100"/>
      <c r="H77" s="103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61"/>
      <c r="AN77" s="61"/>
      <c r="AO77" s="21"/>
      <c r="AP77" s="21"/>
      <c r="AQ77" s="21"/>
      <c r="AR77" s="21"/>
      <c r="AS77" s="21"/>
    </row>
    <row r="78" spans="1:45" s="18" customFormat="1" ht="12.75">
      <c r="A78" s="60"/>
      <c r="B78" s="125"/>
      <c r="C78" s="100"/>
      <c r="D78" s="100"/>
      <c r="E78" s="100"/>
      <c r="F78" s="100"/>
      <c r="G78" s="100"/>
      <c r="H78" s="103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21"/>
      <c r="AP78" s="21"/>
      <c r="AQ78" s="21"/>
      <c r="AR78" s="21"/>
      <c r="AS78" s="21"/>
    </row>
    <row r="79" spans="1:45" s="18" customFormat="1" ht="12.75">
      <c r="A79" s="60"/>
      <c r="B79" s="100"/>
      <c r="C79" s="100"/>
      <c r="D79" s="100"/>
      <c r="E79" s="100"/>
      <c r="F79" s="100"/>
      <c r="G79" s="100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21"/>
      <c r="AP79" s="21"/>
      <c r="AQ79" s="21"/>
      <c r="AR79" s="21"/>
      <c r="AS79" s="21"/>
    </row>
    <row r="80" spans="1:45" s="18" customFormat="1" ht="12.75">
      <c r="A80" s="60"/>
      <c r="B80" s="100"/>
      <c r="C80" s="100"/>
      <c r="D80" s="100"/>
      <c r="E80" s="100"/>
      <c r="F80" s="100"/>
      <c r="G80" s="100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21"/>
      <c r="AP80" s="21"/>
      <c r="AQ80" s="21"/>
      <c r="AR80" s="21"/>
      <c r="AS80" s="21"/>
    </row>
    <row r="81" spans="1:45" s="18" customFormat="1" ht="12.75">
      <c r="A81" s="60"/>
      <c r="B81" s="100"/>
      <c r="C81" s="100"/>
      <c r="D81" s="100"/>
      <c r="E81" s="100"/>
      <c r="F81" s="100"/>
      <c r="G81" s="100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21"/>
      <c r="AP81" s="21"/>
      <c r="AQ81" s="21"/>
      <c r="AR81" s="21"/>
      <c r="AS81" s="21"/>
    </row>
    <row r="82" spans="1:45" s="18" customFormat="1" ht="12.75">
      <c r="A82" s="60"/>
      <c r="B82" s="100"/>
      <c r="C82" s="100"/>
      <c r="D82" s="100"/>
      <c r="E82" s="100"/>
      <c r="F82" s="100"/>
      <c r="G82" s="100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21"/>
      <c r="AP82" s="21"/>
      <c r="AQ82" s="21"/>
      <c r="AR82" s="21"/>
      <c r="AS82" s="21"/>
    </row>
    <row r="83" spans="1:45" s="18" customFormat="1" ht="12.75">
      <c r="A83" s="60"/>
      <c r="B83" s="100"/>
      <c r="C83" s="100"/>
      <c r="D83" s="100"/>
      <c r="E83" s="100"/>
      <c r="F83" s="100"/>
      <c r="G83" s="100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21"/>
      <c r="AP83" s="21"/>
      <c r="AQ83" s="21"/>
      <c r="AR83" s="21"/>
      <c r="AS83" s="21"/>
    </row>
    <row r="84" spans="1:45" s="18" customFormat="1" ht="12.75">
      <c r="A84" s="60"/>
      <c r="B84" s="100"/>
      <c r="C84" s="100"/>
      <c r="D84" s="100"/>
      <c r="E84" s="100"/>
      <c r="F84" s="100"/>
      <c r="G84" s="100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21"/>
      <c r="AP84" s="21"/>
      <c r="AQ84" s="21"/>
      <c r="AR84" s="21"/>
      <c r="AS84" s="21"/>
    </row>
    <row r="85" spans="1:40" s="18" customFormat="1" ht="12.75">
      <c r="A85" s="60"/>
      <c r="B85" s="100"/>
      <c r="C85" s="100"/>
      <c r="D85" s="100"/>
      <c r="E85" s="100"/>
      <c r="F85" s="100"/>
      <c r="G85" s="100"/>
      <c r="H85" s="8"/>
      <c r="I85" s="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</row>
    <row r="86" spans="1:40" s="18" customFormat="1" ht="12.75">
      <c r="A86" s="63"/>
      <c r="B86" s="260"/>
      <c r="C86" s="260"/>
      <c r="D86" s="261"/>
      <c r="E86" s="100"/>
      <c r="F86" s="60"/>
      <c r="G86" s="100"/>
      <c r="H86" s="8"/>
      <c r="I86" s="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</row>
    <row r="87" spans="1:40" s="18" customFormat="1" ht="12.75">
      <c r="A87" s="60"/>
      <c r="B87" s="60"/>
      <c r="C87" s="60"/>
      <c r="D87" s="60"/>
      <c r="E87" s="100"/>
      <c r="F87" s="60"/>
      <c r="G87" s="100"/>
      <c r="H87" s="8"/>
      <c r="I87" s="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</row>
    <row r="88" spans="1:40" s="18" customFormat="1" ht="12.75">
      <c r="A88" s="63"/>
      <c r="B88" s="100"/>
      <c r="C88" s="100"/>
      <c r="D88" s="100"/>
      <c r="E88" s="100"/>
      <c r="F88" s="60"/>
      <c r="G88" s="100"/>
      <c r="H88" s="8"/>
      <c r="I88" s="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</row>
    <row r="89" spans="1:40" s="18" customFormat="1" ht="12.75">
      <c r="A89" s="8"/>
      <c r="B89" s="8"/>
      <c r="C89" s="8"/>
      <c r="D89" s="8"/>
      <c r="E89" s="8"/>
      <c r="F89" s="8"/>
      <c r="G89" s="8"/>
      <c r="H89" s="8"/>
      <c r="I89" s="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</row>
    <row r="90" spans="1:40" s="18" customFormat="1" ht="12.75">
      <c r="A90" s="8"/>
      <c r="B90" s="8"/>
      <c r="C90" s="8"/>
      <c r="D90" s="8"/>
      <c r="E90" s="8"/>
      <c r="F90" s="8"/>
      <c r="G90" s="8"/>
      <c r="H90" s="8"/>
      <c r="I90" s="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</row>
    <row r="91" spans="1:40" s="18" customFormat="1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</row>
    <row r="92" spans="1:40" s="18" customFormat="1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</row>
    <row r="93" spans="1:40" s="18" customFormat="1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</row>
    <row r="94" spans="1:40" s="18" customFormat="1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</row>
    <row r="95" spans="1:40" s="18" customFormat="1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</row>
    <row r="96" spans="1:40" s="18" customFormat="1" ht="12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</row>
    <row r="97" spans="1:40" s="18" customFormat="1" ht="12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</row>
    <row r="98" spans="1:40" s="18" customFormat="1" ht="12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</row>
    <row r="99" spans="1:40" s="18" customFormat="1" ht="12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</row>
    <row r="100" spans="1:40" s="18" customFormat="1" ht="12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</row>
    <row r="101" spans="1:40" s="18" customFormat="1" ht="12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</row>
    <row r="102" spans="1:40" s="18" customFormat="1" ht="12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</row>
    <row r="103" spans="1:40" s="18" customFormat="1" ht="12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</row>
    <row r="104" spans="1:40" s="18" customFormat="1" ht="12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</row>
    <row r="105" spans="1:40" s="18" customFormat="1" ht="12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</row>
    <row r="106" spans="1:40" s="18" customFormat="1" ht="12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</row>
    <row r="107" spans="1:40" s="18" customFormat="1" ht="12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</row>
    <row r="108" spans="1:40" s="18" customFormat="1" ht="12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</row>
    <row r="109" spans="1:40" s="18" customFormat="1" ht="12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</row>
    <row r="110" spans="1:40" s="18" customFormat="1" ht="12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</row>
    <row r="111" spans="1:40" s="18" customFormat="1" ht="12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</row>
    <row r="112" spans="1:40" s="18" customFormat="1" ht="12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</row>
    <row r="113" spans="1:40" s="18" customFormat="1" ht="12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</row>
    <row r="114" spans="1:40" s="18" customFormat="1" ht="12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</row>
    <row r="115" spans="1:40" s="18" customFormat="1" ht="12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</row>
    <row r="116" spans="1:40" s="18" customFormat="1" ht="12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</row>
    <row r="117" spans="1:40" s="18" customFormat="1" ht="12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</row>
    <row r="118" spans="1:40" s="18" customFormat="1" ht="12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</row>
    <row r="119" spans="1:40" s="18" customFormat="1" ht="12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</row>
    <row r="120" spans="1:40" s="18" customFormat="1" ht="12.7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</row>
    <row r="121" spans="1:40" s="18" customFormat="1" ht="12.7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</row>
    <row r="122" spans="1:40" s="18" customFormat="1" ht="12.7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</row>
    <row r="123" spans="1:40" s="18" customFormat="1" ht="12.7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</row>
    <row r="124" spans="1:40" s="18" customFormat="1" ht="12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</row>
    <row r="125" spans="1:40" s="18" customFormat="1" ht="12.7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</row>
    <row r="126" spans="1:40" s="18" customFormat="1" ht="12.7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</row>
    <row r="127" spans="1:40" s="18" customFormat="1" ht="12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</row>
    <row r="128" spans="1:40" s="18" customFormat="1" ht="12.7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</row>
    <row r="129" spans="1:40" s="18" customFormat="1" ht="12.7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</row>
    <row r="130" spans="1:40" s="18" customFormat="1" ht="12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</row>
    <row r="131" spans="1:40" s="18" customFormat="1" ht="12.7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</row>
    <row r="132" spans="1:40" s="18" customFormat="1" ht="12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</row>
    <row r="133" spans="1:40" s="18" customFormat="1" ht="12.7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</row>
    <row r="134" spans="1:40" s="18" customFormat="1" ht="12.7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</row>
    <row r="135" spans="1:40" s="18" customFormat="1" ht="12.7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</row>
    <row r="136" spans="1:40" s="18" customFormat="1" ht="12.7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</row>
    <row r="137" spans="1:40" s="18" customFormat="1" ht="12.7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</row>
    <row r="138" spans="1:40" s="18" customFormat="1" ht="12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</row>
    <row r="139" spans="1:40" s="18" customFormat="1" ht="12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</row>
    <row r="140" spans="1:40" s="18" customFormat="1" ht="12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</row>
    <row r="141" spans="1:40" s="18" customFormat="1" ht="12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</row>
    <row r="142" spans="1:40" s="18" customFormat="1" ht="12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</row>
    <row r="143" spans="1:40" s="18" customFormat="1" ht="12.7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</row>
    <row r="144" spans="1:40" s="18" customFormat="1" ht="12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</row>
    <row r="145" spans="1:40" s="18" customFormat="1" ht="12.7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</row>
    <row r="146" spans="1:40" s="18" customFormat="1" ht="12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</row>
    <row r="147" spans="1:40" s="18" customFormat="1" ht="12.7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</row>
    <row r="148" spans="1:40" s="18" customFormat="1" ht="12.7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</row>
    <row r="149" spans="1:40" s="18" customFormat="1" ht="12.7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</row>
    <row r="150" spans="1:40" s="18" customFormat="1" ht="12.7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</row>
    <row r="151" spans="1:40" s="18" customFormat="1" ht="12.7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</row>
    <row r="152" spans="1:40" s="18" customFormat="1" ht="12.7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</row>
    <row r="153" spans="1:40" s="18" customFormat="1" ht="12.7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</row>
    <row r="154" spans="1:40" s="18" customFormat="1" ht="12.7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</row>
    <row r="155" spans="1:40" s="18" customFormat="1" ht="12.7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</row>
    <row r="156" spans="1:40" s="18" customFormat="1" ht="12.7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</row>
    <row r="157" spans="1:40" s="18" customFormat="1" ht="12.7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</row>
    <row r="158" spans="1:40" s="18" customFormat="1" ht="12.7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</row>
    <row r="159" spans="1:40" s="18" customFormat="1" ht="12.7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</row>
    <row r="160" spans="1:40" s="18" customFormat="1" ht="12.7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</row>
    <row r="161" s="18" customFormat="1" ht="11.25"/>
    <row r="162" spans="1:40" s="18" customFormat="1" ht="12.7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</row>
    <row r="163" spans="1:40" s="18" customFormat="1" ht="12.7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</row>
    <row r="164" spans="1:40" s="18" customFormat="1" ht="12.7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</row>
    <row r="165" spans="1:40" s="18" customFormat="1" ht="12.7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</row>
    <row r="166" spans="1:40" s="18" customFormat="1" ht="12.7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</row>
    <row r="167" spans="1:40" s="18" customFormat="1" ht="12.7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</row>
    <row r="168" spans="1:40" s="18" customFormat="1" ht="12.7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</row>
    <row r="169" spans="1:40" s="18" customFormat="1" ht="12.7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</row>
    <row r="170" spans="1:40" s="18" customFormat="1" ht="12.7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</row>
    <row r="171" spans="1:40" s="18" customFormat="1" ht="12.7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</row>
    <row r="172" spans="1:40" s="18" customFormat="1" ht="12.7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</row>
    <row r="173" spans="1:40" s="18" customFormat="1" ht="12.7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</row>
    <row r="174" spans="1:40" s="18" customFormat="1" ht="12.7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</row>
    <row r="175" spans="1:40" s="18" customFormat="1" ht="12.7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</row>
    <row r="176" spans="1:40" s="18" customFormat="1" ht="12.7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</row>
    <row r="177" spans="1:40" s="18" customFormat="1" ht="12.7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</row>
    <row r="178" spans="1:40" s="18" customFormat="1" ht="12.7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</row>
    <row r="179" spans="1:40" s="18" customFormat="1" ht="12.7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</row>
    <row r="180" spans="1:40" s="18" customFormat="1" ht="12.7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</row>
    <row r="181" spans="1:40" s="18" customFormat="1" ht="12.7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</row>
    <row r="182" spans="1:40" s="18" customFormat="1" ht="12.7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</row>
    <row r="183" spans="1:40" s="18" customFormat="1" ht="12.7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</row>
    <row r="184" spans="1:40" s="18" customFormat="1" ht="12.7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</row>
    <row r="185" spans="1:40" s="18" customFormat="1" ht="12.7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</row>
    <row r="186" spans="1:40" s="18" customFormat="1" ht="12.7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</row>
    <row r="187" spans="1:40" s="18" customFormat="1" ht="12.7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</row>
    <row r="188" spans="1:40" s="18" customFormat="1" ht="12.7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</row>
    <row r="189" spans="1:40" s="18" customFormat="1" ht="12.7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</row>
    <row r="190" spans="1:40" s="18" customFormat="1" ht="12.7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</row>
    <row r="191" spans="1:40" s="18" customFormat="1" ht="12.7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</row>
    <row r="192" spans="1:40" s="18" customFormat="1" ht="12.7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</row>
    <row r="193" spans="1:40" s="18" customFormat="1" ht="12.7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</row>
    <row r="194" spans="1:40" s="18" customFormat="1" ht="12.7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</row>
    <row r="195" spans="1:40" s="18" customFormat="1" ht="12.7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</row>
    <row r="196" spans="1:40" s="18" customFormat="1" ht="12.7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</row>
    <row r="197" spans="1:40" s="18" customFormat="1" ht="12.7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</row>
    <row r="198" spans="1:40" s="18" customFormat="1" ht="12.7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</row>
    <row r="199" spans="1:40" s="18" customFormat="1" ht="12.7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</row>
    <row r="200" spans="1:40" s="18" customFormat="1" ht="12.7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</row>
    <row r="201" spans="1:40" s="18" customFormat="1" ht="12.7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</row>
    <row r="202" spans="1:40" s="18" customFormat="1" ht="12.7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</row>
    <row r="203" spans="1:40" s="18" customFormat="1" ht="12.7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</row>
    <row r="204" spans="1:40" s="18" customFormat="1" ht="12.7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</row>
    <row r="205" spans="1:40" s="18" customFormat="1" ht="12.7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</row>
    <row r="206" spans="1:40" s="18" customFormat="1" ht="12.7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</row>
    <row r="207" spans="1:40" s="18" customFormat="1" ht="12.7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</row>
    <row r="208" spans="1:40" s="18" customFormat="1" ht="12.7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</row>
    <row r="209" spans="1:40" s="18" customFormat="1" ht="12.7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</row>
    <row r="210" spans="1:40" s="18" customFormat="1" ht="12.7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</row>
    <row r="211" spans="1:40" s="18" customFormat="1" ht="12.7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</row>
    <row r="212" spans="1:40" s="18" customFormat="1" ht="12.7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</row>
    <row r="213" spans="1:40" s="18" customFormat="1" ht="12.7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</row>
    <row r="214" spans="1:40" s="18" customFormat="1" ht="12.7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</row>
    <row r="215" spans="1:40" s="18" customFormat="1" ht="12.7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</row>
    <row r="216" spans="1:40" s="18" customFormat="1" ht="12.7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</row>
    <row r="217" spans="1:40" s="18" customFormat="1" ht="12.7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</row>
    <row r="218" spans="1:40" s="18" customFormat="1" ht="12.7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</row>
    <row r="219" spans="1:40" s="18" customFormat="1" ht="12.7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</row>
    <row r="220" spans="1:40" s="18" customFormat="1" ht="12.7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</row>
    <row r="221" spans="1:40" s="18" customFormat="1" ht="12.7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</row>
    <row r="222" spans="1:40" s="18" customFormat="1" ht="12.7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</row>
    <row r="223" spans="1:40" s="18" customFormat="1" ht="12.7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</row>
    <row r="224" spans="1:40" s="18" customFormat="1" ht="12.7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</row>
    <row r="225" spans="1:40" s="18" customFormat="1" ht="12.7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</row>
    <row r="226" spans="1:40" s="18" customFormat="1" ht="12.7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</row>
    <row r="227" spans="1:40" s="18" customFormat="1" ht="12.7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</row>
    <row r="228" spans="1:40" s="18" customFormat="1" ht="12.7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</row>
    <row r="229" spans="1:40" s="18" customFormat="1" ht="12.7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</row>
    <row r="230" spans="1:40" s="18" customFormat="1" ht="12.7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</row>
    <row r="231" spans="1:40" s="18" customFormat="1" ht="12.7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</row>
    <row r="232" spans="1:40" s="18" customFormat="1" ht="12.7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</row>
    <row r="233" spans="1:40" s="18" customFormat="1" ht="12.7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</row>
    <row r="234" spans="1:40" s="18" customFormat="1" ht="12.7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</row>
    <row r="235" spans="1:40" s="18" customFormat="1" ht="12.7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</row>
    <row r="236" spans="1:40" s="18" customFormat="1" ht="12.7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</row>
    <row r="237" spans="1:40" s="18" customFormat="1" ht="12.7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</row>
    <row r="238" spans="1:40" s="18" customFormat="1" ht="12.7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</row>
    <row r="239" spans="1:40" s="18" customFormat="1" ht="12.7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</row>
    <row r="240" spans="1:40" s="18" customFormat="1" ht="12.7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</row>
    <row r="241" spans="1:40" s="18" customFormat="1" ht="12.7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</row>
    <row r="242" spans="1:40" s="18" customFormat="1" ht="12.7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</row>
    <row r="243" spans="1:40" s="18" customFormat="1" ht="12.7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</row>
    <row r="244" spans="1:40" s="18" customFormat="1" ht="12.7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</row>
    <row r="245" spans="1:40" s="18" customFormat="1" ht="12.7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</row>
    <row r="246" spans="1:40" s="18" customFormat="1" ht="12.7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</row>
    <row r="247" spans="1:40" s="18" customFormat="1" ht="12.7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</row>
    <row r="248" spans="1:40" s="18" customFormat="1" ht="12.7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</row>
    <row r="249" spans="1:40" s="18" customFormat="1" ht="12.7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</row>
    <row r="250" spans="1:40" s="18" customFormat="1" ht="12.7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</row>
    <row r="251" spans="1:40" s="18" customFormat="1" ht="12.7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</row>
    <row r="252" spans="1:40" s="18" customFormat="1" ht="12.7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</row>
    <row r="253" spans="1:40" s="18" customFormat="1" ht="12.7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</row>
    <row r="254" spans="1:40" s="18" customFormat="1" ht="12.7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</row>
    <row r="255" spans="1:40" s="18" customFormat="1" ht="12.7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</row>
    <row r="256" spans="1:40" s="18" customFormat="1" ht="12.7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</row>
    <row r="257" spans="1:40" s="18" customFormat="1" ht="12.7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</row>
    <row r="258" spans="1:40" s="18" customFormat="1" ht="12.7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</row>
    <row r="259" spans="1:40" s="18" customFormat="1" ht="12.7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</row>
    <row r="260" spans="1:40" s="18" customFormat="1" ht="12.7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</row>
    <row r="261" spans="1:40" s="18" customFormat="1" ht="12.7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</row>
    <row r="262" spans="1:40" s="18" customFormat="1" ht="12.7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</row>
    <row r="263" spans="1:40" s="18" customFormat="1" ht="12.7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</row>
    <row r="264" spans="1:40" s="18" customFormat="1" ht="12.7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</row>
    <row r="265" spans="1:40" s="18" customFormat="1" ht="12.7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</row>
    <row r="266" spans="1:40" s="18" customFormat="1" ht="12.7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</row>
    <row r="267" spans="1:40" s="18" customFormat="1" ht="12.7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</row>
    <row r="268" spans="1:40" s="18" customFormat="1" ht="12.7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</row>
    <row r="269" spans="1:40" s="18" customFormat="1" ht="12.7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</row>
    <row r="270" spans="1:40" s="18" customFormat="1" ht="12.7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</row>
    <row r="271" spans="1:40" s="18" customFormat="1" ht="12.7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</row>
    <row r="272" spans="1:40" s="18" customFormat="1" ht="12.7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</row>
    <row r="273" spans="1:40" s="18" customFormat="1" ht="12.7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</row>
    <row r="274" spans="1:40" s="18" customFormat="1" ht="12.7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</row>
    <row r="275" spans="1:40" s="18" customFormat="1" ht="12.7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</row>
    <row r="276" spans="1:40" s="18" customFormat="1" ht="12.7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</row>
    <row r="277" spans="1:40" s="18" customFormat="1" ht="12.7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</row>
    <row r="278" spans="1:40" s="18" customFormat="1" ht="12.7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</row>
    <row r="279" spans="1:40" s="18" customFormat="1" ht="12.7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</row>
    <row r="280" spans="1:40" s="18" customFormat="1" ht="12.7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</row>
    <row r="281" spans="1:40" s="18" customFormat="1" ht="12.7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</row>
    <row r="282" spans="1:40" s="18" customFormat="1" ht="12.7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</row>
    <row r="283" spans="1:40" s="18" customFormat="1" ht="12.7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</row>
    <row r="284" spans="1:40" s="18" customFormat="1" ht="12.7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</row>
    <row r="285" spans="1:40" s="18" customFormat="1" ht="12.7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</row>
    <row r="286" spans="1:40" s="18" customFormat="1" ht="12.7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</row>
    <row r="287" spans="1:40" s="18" customFormat="1" ht="12.7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</row>
    <row r="288" spans="1:40" s="18" customFormat="1" ht="12.7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</row>
    <row r="289" spans="1:40" s="18" customFormat="1" ht="12.7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</row>
    <row r="290" spans="1:40" s="18" customFormat="1" ht="12.7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</row>
    <row r="291" spans="1:40" s="18" customFormat="1" ht="12.7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</row>
    <row r="292" spans="1:40" s="18" customFormat="1" ht="12.7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</row>
    <row r="293" spans="1:40" s="18" customFormat="1" ht="12.7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</row>
    <row r="294" spans="1:40" s="18" customFormat="1" ht="12.7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</row>
    <row r="295" spans="1:40" s="18" customFormat="1" ht="12.7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</row>
    <row r="296" spans="1:40" s="18" customFormat="1" ht="12.7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</row>
    <row r="297" spans="1:40" s="18" customFormat="1" ht="12.7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</row>
    <row r="298" spans="1:40" s="18" customFormat="1" ht="12.7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</row>
    <row r="299" spans="1:40" s="18" customFormat="1" ht="12.7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</row>
    <row r="300" spans="1:40" s="18" customFormat="1" ht="12.7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</row>
    <row r="301" spans="1:40" s="18" customFormat="1" ht="12.7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</row>
    <row r="302" spans="1:40" s="18" customFormat="1" ht="12.7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</row>
    <row r="303" spans="1:40" s="18" customFormat="1" ht="12.7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</row>
    <row r="304" spans="1:40" s="18" customFormat="1" ht="12.7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</row>
    <row r="305" spans="1:40" s="18" customFormat="1" ht="12.7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</row>
    <row r="306" spans="1:40" s="18" customFormat="1" ht="12.7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</row>
    <row r="307" spans="1:40" s="18" customFormat="1" ht="12.7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</row>
    <row r="308" spans="1:40" s="18" customFormat="1" ht="12.7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</row>
    <row r="309" spans="1:40" s="18" customFormat="1" ht="12.7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</row>
    <row r="310" spans="1:40" s="18" customFormat="1" ht="12.7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</row>
    <row r="311" spans="1:40" s="18" customFormat="1" ht="12.7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</row>
    <row r="312" spans="1:40" s="18" customFormat="1" ht="12.7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</row>
    <row r="313" spans="1:40" s="18" customFormat="1" ht="12.7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</row>
    <row r="314" spans="1:40" s="18" customFormat="1" ht="12.7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</row>
    <row r="315" spans="1:40" s="18" customFormat="1" ht="12.7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</row>
    <row r="316" spans="1:40" s="18" customFormat="1" ht="12.7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</row>
    <row r="317" spans="1:40" s="18" customFormat="1" ht="12.7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</row>
    <row r="318" spans="1:40" s="18" customFormat="1" ht="12.7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</row>
    <row r="319" spans="1:40" s="18" customFormat="1" ht="12.7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</row>
    <row r="320" spans="1:40" s="18" customFormat="1" ht="12.7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</row>
    <row r="321" spans="1:40" s="18" customFormat="1" ht="12.7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</row>
    <row r="322" spans="1:40" s="18" customFormat="1" ht="12.7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</row>
    <row r="323" spans="1:40" s="18" customFormat="1" ht="12.7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</row>
    <row r="324" spans="1:40" s="18" customFormat="1" ht="12.7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</row>
    <row r="325" spans="1:40" s="18" customFormat="1" ht="12.7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</row>
    <row r="326" spans="1:40" s="18" customFormat="1" ht="12.7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</row>
    <row r="327" spans="1:40" s="18" customFormat="1" ht="12.7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</row>
    <row r="328" spans="1:40" s="18" customFormat="1" ht="12.7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</row>
    <row r="329" spans="1:40" s="18" customFormat="1" ht="12.7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</row>
    <row r="330" spans="1:40" s="18" customFormat="1" ht="12.7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</row>
    <row r="331" spans="1:40" s="18" customFormat="1" ht="12.7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</row>
    <row r="332" spans="1:40" s="18" customFormat="1" ht="12.7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</row>
    <row r="333" spans="1:40" s="18" customFormat="1" ht="12.7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</row>
    <row r="334" spans="1:40" s="18" customFormat="1" ht="12.7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</row>
    <row r="335" spans="1:40" s="18" customFormat="1" ht="12.7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</row>
    <row r="336" spans="1:40" s="18" customFormat="1" ht="12.7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</row>
    <row r="337" spans="1:40" s="18" customFormat="1" ht="12.7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</row>
    <row r="338" spans="1:40" s="18" customFormat="1" ht="12.7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</row>
    <row r="339" spans="1:40" s="18" customFormat="1" ht="12.7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</row>
    <row r="340" spans="1:40" s="18" customFormat="1" ht="12.7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</row>
    <row r="341" spans="1:40" s="18" customFormat="1" ht="12.7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</row>
    <row r="342" spans="1:40" s="18" customFormat="1" ht="12.7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</row>
    <row r="343" spans="1:40" s="18" customFormat="1" ht="12.7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</row>
    <row r="344" spans="1:40" s="18" customFormat="1" ht="12.7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</row>
    <row r="345" spans="1:40" s="18" customFormat="1" ht="12.7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</row>
    <row r="346" spans="1:40" s="18" customFormat="1" ht="12.7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</row>
    <row r="347" spans="1:40" s="18" customFormat="1" ht="12.7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</row>
    <row r="348" spans="1:40" s="18" customFormat="1" ht="12.7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</row>
    <row r="349" spans="1:40" s="18" customFormat="1" ht="12.7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</row>
    <row r="350" spans="1:40" s="18" customFormat="1" ht="12.7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</row>
    <row r="351" spans="1:40" s="18" customFormat="1" ht="12.7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</row>
    <row r="352" spans="1:40" s="18" customFormat="1" ht="12.7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</row>
    <row r="353" spans="1:40" s="18" customFormat="1" ht="12.7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</row>
    <row r="354" spans="1:40" s="18" customFormat="1" ht="12.7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</row>
    <row r="355" spans="1:40" s="18" customFormat="1" ht="12.7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</row>
    <row r="356" spans="1:40" s="18" customFormat="1" ht="12.7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</row>
    <row r="357" spans="1:40" s="18" customFormat="1" ht="12.7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</row>
    <row r="358" spans="1:40" s="18" customFormat="1" ht="12.7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</row>
    <row r="359" spans="1:40" s="18" customFormat="1" ht="12.7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</row>
    <row r="360" spans="1:40" s="18" customFormat="1" ht="12.7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</row>
    <row r="361" spans="1:40" s="18" customFormat="1" ht="12.75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</row>
    <row r="362" s="18" customFormat="1" ht="11.25"/>
    <row r="363" s="18" customFormat="1" ht="11.25"/>
    <row r="364" s="18" customFormat="1" ht="11.25"/>
    <row r="365" s="18" customFormat="1" ht="11.25"/>
    <row r="366" s="18" customFormat="1" ht="11.25"/>
    <row r="367" s="18" customFormat="1" ht="11.25"/>
    <row r="368" s="18" customFormat="1" ht="11.25"/>
    <row r="369" s="18" customFormat="1" ht="11.25"/>
    <row r="370" s="18" customFormat="1" ht="11.25"/>
    <row r="371" s="18" customFormat="1" ht="11.25"/>
    <row r="372" s="18" customFormat="1" ht="11.25"/>
    <row r="373" s="18" customFormat="1" ht="11.25"/>
    <row r="374" s="18" customFormat="1" ht="11.25"/>
    <row r="375" s="18" customFormat="1" ht="11.25"/>
    <row r="376" s="18" customFormat="1" ht="11.25"/>
    <row r="377" s="18" customFormat="1" ht="11.25"/>
    <row r="378" s="18" customFormat="1" ht="11.25"/>
    <row r="379" s="18" customFormat="1" ht="11.25"/>
    <row r="380" s="18" customFormat="1" ht="11.25"/>
    <row r="381" s="18" customFormat="1" ht="11.25"/>
    <row r="382" s="18" customFormat="1" ht="11.25"/>
    <row r="383" s="18" customFormat="1" ht="11.25"/>
    <row r="384" s="18" customFormat="1" ht="11.25"/>
  </sheetData>
  <sheetProtection sheet="1"/>
  <mergeCells count="9">
    <mergeCell ref="A1:B1"/>
    <mergeCell ref="BA23:BB23"/>
    <mergeCell ref="BC23:BD23"/>
    <mergeCell ref="BE23:BF23"/>
    <mergeCell ref="AQ23:AR23"/>
    <mergeCell ref="AS23:AT23"/>
    <mergeCell ref="AU23:AV23"/>
    <mergeCell ref="AW23:AX23"/>
    <mergeCell ref="AY23:AZ23"/>
  </mergeCells>
  <dataValidations count="2">
    <dataValidation type="list" allowBlank="1" showInputMessage="1" showErrorMessage="1" sqref="H7">
      <formula1>$T$24:$T$25</formula1>
    </dataValidation>
    <dataValidation type="list" allowBlank="1" showInputMessage="1" showErrorMessage="1" sqref="P41 B26:B48 B50 B52 B55 B57 B60 B62 P51 P49 P46 P44">
      <formula1>$S$24:$S$47</formula1>
    </dataValidation>
  </dataValidations>
  <printOptions horizontalCentered="1" verticalCentered="1"/>
  <pageMargins left="0.5" right="0.5" top="0.5" bottom="0.5" header="0" footer="0"/>
  <pageSetup fitToHeight="1" fitToWidth="1" horizontalDpi="600" verticalDpi="600" orientation="landscape" scale="68" r:id="rId3"/>
  <colBreaks count="1" manualBreakCount="1">
    <brk id="20" min="13" max="53" man="1"/>
  </colBreaks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BW19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28125" style="0" customWidth="1"/>
    <col min="3" max="3" width="9.7109375" style="0" customWidth="1"/>
    <col min="4" max="4" width="16.7109375" style="0" customWidth="1"/>
    <col min="5" max="5" width="10.7109375" style="0" customWidth="1"/>
    <col min="6" max="6" width="10.421875" style="0" customWidth="1"/>
    <col min="7" max="7" width="12.57421875" style="0" customWidth="1"/>
    <col min="8" max="18" width="10.7109375" style="0" customWidth="1"/>
  </cols>
  <sheetData>
    <row r="1" spans="1:17" ht="12.75">
      <c r="A1" s="1020" t="s">
        <v>835</v>
      </c>
      <c r="B1" s="1026"/>
      <c r="C1" s="1026"/>
      <c r="D1" s="458"/>
      <c r="H1" s="458"/>
      <c r="I1" s="458"/>
      <c r="J1" s="458"/>
      <c r="K1" s="458"/>
      <c r="L1" s="458"/>
      <c r="M1" s="458"/>
      <c r="N1" s="458"/>
      <c r="O1" s="458"/>
      <c r="P1" s="458"/>
      <c r="Q1" s="458"/>
    </row>
    <row r="2" spans="1:17" ht="15.75">
      <c r="A2" s="669" t="s">
        <v>1271</v>
      </c>
      <c r="B2" s="66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</row>
    <row r="3" spans="1:17" ht="12.75">
      <c r="A3" s="510"/>
      <c r="B3" s="510"/>
      <c r="C3" s="990"/>
      <c r="D3" s="985"/>
      <c r="E3" s="985"/>
      <c r="F3" s="510"/>
      <c r="G3" s="510"/>
      <c r="H3" s="510"/>
      <c r="I3" s="458"/>
      <c r="J3" s="458"/>
      <c r="K3" s="458"/>
      <c r="L3" s="458"/>
      <c r="M3" s="458"/>
      <c r="N3" s="458"/>
      <c r="O3" s="458"/>
      <c r="P3" s="458"/>
      <c r="Q3" s="458"/>
    </row>
    <row r="4" spans="1:75" ht="12.75">
      <c r="A4" s="65"/>
      <c r="B4" s="510"/>
      <c r="C4" s="700"/>
      <c r="D4" s="700"/>
      <c r="E4" s="123"/>
      <c r="F4" s="65"/>
      <c r="G4" s="65"/>
      <c r="H4" s="65"/>
      <c r="I4" s="61"/>
      <c r="J4" s="61"/>
      <c r="K4" s="61"/>
      <c r="L4" s="61"/>
      <c r="M4" s="61"/>
      <c r="N4" s="61"/>
      <c r="O4" s="61"/>
      <c r="P4" s="61"/>
      <c r="Q4" s="61"/>
      <c r="R4" s="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</row>
    <row r="5" spans="1:75" ht="12.75">
      <c r="A5" s="700"/>
      <c r="B5" s="795"/>
      <c r="C5" s="668"/>
      <c r="D5" s="700"/>
      <c r="E5" s="794"/>
      <c r="F5" s="510"/>
      <c r="G5" s="668"/>
      <c r="H5" s="668"/>
      <c r="I5" s="668"/>
      <c r="J5" s="668"/>
      <c r="K5" s="668"/>
      <c r="L5" s="668"/>
      <c r="M5" s="668"/>
      <c r="N5" s="510"/>
      <c r="O5" s="61"/>
      <c r="P5" s="61"/>
      <c r="Q5" s="61"/>
      <c r="R5" s="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</row>
    <row r="6" spans="1:75" ht="12.75">
      <c r="A6" s="796"/>
      <c r="B6" s="668"/>
      <c r="C6" s="668"/>
      <c r="D6" s="668"/>
      <c r="E6" s="668"/>
      <c r="F6" s="668"/>
      <c r="G6" s="668"/>
      <c r="H6" s="668"/>
      <c r="I6" s="668"/>
      <c r="J6" s="668"/>
      <c r="K6" s="668"/>
      <c r="L6" s="668"/>
      <c r="M6" s="668"/>
      <c r="N6" s="510"/>
      <c r="O6" s="61"/>
      <c r="P6" s="61"/>
      <c r="Q6" s="61"/>
      <c r="R6" s="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7" spans="1:75" ht="12.75">
      <c r="A7" s="61" t="s">
        <v>113</v>
      </c>
      <c r="B7" s="61"/>
      <c r="C7" s="61"/>
      <c r="D7" s="61"/>
      <c r="E7" s="61"/>
      <c r="F7" s="6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</row>
    <row r="8" spans="1:75" ht="4.5" customHeight="1">
      <c r="A8" s="85"/>
      <c r="B8" s="86"/>
      <c r="C8" s="86"/>
      <c r="D8" s="86"/>
      <c r="E8" s="86"/>
      <c r="F8" s="797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60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</row>
    <row r="9" spans="1:75" ht="12.75">
      <c r="A9" s="61" t="s">
        <v>1270</v>
      </c>
      <c r="B9" s="61"/>
      <c r="C9" s="61"/>
      <c r="D9" s="61"/>
      <c r="E9" s="61"/>
      <c r="F9" s="61"/>
      <c r="G9" s="458"/>
      <c r="H9" s="61"/>
      <c r="I9" s="61"/>
      <c r="J9" s="61"/>
      <c r="K9" s="61"/>
      <c r="L9" s="61"/>
      <c r="M9" s="61"/>
      <c r="N9" s="61"/>
      <c r="O9" s="61"/>
      <c r="P9" s="7" t="str">
        <f>Main!J1</f>
        <v>Revised 4/22/16</v>
      </c>
      <c r="Q9" s="61"/>
      <c r="R9" s="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</row>
    <row r="10" spans="1:75" ht="15.75">
      <c r="A10" s="1027" t="s">
        <v>84</v>
      </c>
      <c r="B10" s="1028"/>
      <c r="C10" s="1028"/>
      <c r="D10" s="1028"/>
      <c r="E10" s="1028"/>
      <c r="F10" s="1028"/>
      <c r="G10" s="1028"/>
      <c r="H10" s="1028"/>
      <c r="I10" s="1028"/>
      <c r="J10" s="1028"/>
      <c r="K10" s="1028"/>
      <c r="L10" s="1028"/>
      <c r="M10" s="1028"/>
      <c r="N10" s="1028"/>
      <c r="O10" s="1028"/>
      <c r="P10" s="1028"/>
      <c r="Q10" s="1028"/>
      <c r="R10" s="60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</row>
    <row r="11" spans="1:75" ht="12.75">
      <c r="A11" s="1029" t="s">
        <v>100</v>
      </c>
      <c r="B11" s="1028"/>
      <c r="C11" s="1028"/>
      <c r="D11" s="1028"/>
      <c r="E11" s="1028"/>
      <c r="F11" s="1028"/>
      <c r="G11" s="1028"/>
      <c r="H11" s="1028"/>
      <c r="I11" s="1028"/>
      <c r="J11" s="1028"/>
      <c r="K11" s="1028"/>
      <c r="L11" s="1028"/>
      <c r="M11" s="1028"/>
      <c r="N11" s="1028"/>
      <c r="O11" s="1028"/>
      <c r="P11" s="1028"/>
      <c r="Q11" s="1028"/>
      <c r="R11" s="60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</row>
    <row r="12" spans="1:75" ht="12.75">
      <c r="A12" s="1029" t="s">
        <v>101</v>
      </c>
      <c r="B12" s="1028"/>
      <c r="C12" s="1028"/>
      <c r="D12" s="1028"/>
      <c r="E12" s="1028"/>
      <c r="F12" s="1028"/>
      <c r="G12" s="1028"/>
      <c r="H12" s="1028"/>
      <c r="I12" s="1028"/>
      <c r="J12" s="1028"/>
      <c r="K12" s="1028"/>
      <c r="L12" s="1028"/>
      <c r="M12" s="1028"/>
      <c r="N12" s="1028"/>
      <c r="O12" s="1028"/>
      <c r="P12" s="1028"/>
      <c r="Q12" s="1028"/>
      <c r="R12" s="60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</row>
    <row r="13" spans="1:75" ht="12.75">
      <c r="A13" s="1032" t="s">
        <v>1269</v>
      </c>
      <c r="B13" s="1028"/>
      <c r="C13" s="1028"/>
      <c r="D13" s="1028"/>
      <c r="E13" s="1028"/>
      <c r="F13" s="1028"/>
      <c r="G13" s="1028"/>
      <c r="H13" s="1028"/>
      <c r="I13" s="1028"/>
      <c r="J13" s="1028"/>
      <c r="K13" s="1028"/>
      <c r="L13" s="1028"/>
      <c r="M13" s="1028"/>
      <c r="N13" s="1028"/>
      <c r="O13" s="1028"/>
      <c r="P13" s="1028"/>
      <c r="Q13" s="1028"/>
      <c r="R13" s="60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</row>
    <row r="14" spans="1:75" ht="12.75">
      <c r="A14" s="458"/>
      <c r="B14" s="458"/>
      <c r="C14" s="458"/>
      <c r="D14" s="461" t="s">
        <v>954</v>
      </c>
      <c r="E14" s="462">
        <f>IF(Input!$B$7="","",Input!$B$7)</f>
      </c>
      <c r="F14" s="463"/>
      <c r="G14" s="464" t="s">
        <v>106</v>
      </c>
      <c r="H14" s="465">
        <v>1</v>
      </c>
      <c r="I14" s="466">
        <f>IF(Input!$C$64="","",Input!$C$64)</f>
      </c>
      <c r="J14" s="465">
        <v>5</v>
      </c>
      <c r="K14" s="466">
        <f>IF(Input!$E$64="","",Input!$E$64)</f>
      </c>
      <c r="L14" s="467" t="s">
        <v>559</v>
      </c>
      <c r="M14" s="571"/>
      <c r="N14" s="468"/>
      <c r="O14" s="494"/>
      <c r="P14" s="65"/>
      <c r="Q14" s="65"/>
      <c r="R14" s="60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</row>
    <row r="15" spans="1:75" ht="12.75">
      <c r="A15" s="458"/>
      <c r="B15" s="458"/>
      <c r="C15" s="458"/>
      <c r="D15" s="461" t="s">
        <v>102</v>
      </c>
      <c r="E15" s="462">
        <f>IF(Input!$B$8="","",Input!$B$8)</f>
      </c>
      <c r="F15" s="463"/>
      <c r="G15" s="469"/>
      <c r="H15" s="465">
        <v>2</v>
      </c>
      <c r="I15" s="466">
        <f>IF(Input!$C$65="","",Input!$C$65)</f>
      </c>
      <c r="J15" s="465">
        <v>6</v>
      </c>
      <c r="K15" s="466">
        <f>IF(Input!$E$65="","",Input!$E$65)</f>
      </c>
      <c r="L15" s="470" t="s">
        <v>50</v>
      </c>
      <c r="M15" s="471">
        <f ca="1">TODAY()</f>
        <v>42480</v>
      </c>
      <c r="N15" s="468"/>
      <c r="O15" s="494"/>
      <c r="P15" s="65"/>
      <c r="Q15" s="65"/>
      <c r="R15" s="60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</row>
    <row r="16" spans="1:75" ht="12.75">
      <c r="A16" s="458"/>
      <c r="B16" s="458"/>
      <c r="C16" s="458"/>
      <c r="D16" s="461" t="s">
        <v>983</v>
      </c>
      <c r="E16" s="462">
        <f>IF(Input!$B$10="","",Input!$B$10)</f>
      </c>
      <c r="F16" s="463"/>
      <c r="G16" s="469"/>
      <c r="H16" s="465">
        <v>3</v>
      </c>
      <c r="I16" s="466">
        <f>IF(Input!$C$66="","",Input!$C$66)</f>
      </c>
      <c r="J16" s="465">
        <v>7</v>
      </c>
      <c r="K16" s="466">
        <f>IF(Input!$E$66="","",Input!$E$66)</f>
      </c>
      <c r="L16" s="461" t="s">
        <v>976</v>
      </c>
      <c r="M16" s="472">
        <f>IF(Input!$B$30="","",Input!$B$30)</f>
      </c>
      <c r="N16" s="473"/>
      <c r="O16" s="494"/>
      <c r="P16" s="65"/>
      <c r="Q16" s="65"/>
      <c r="R16" s="60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</row>
    <row r="17" spans="1:69" ht="12.75">
      <c r="A17" s="458"/>
      <c r="B17" s="458"/>
      <c r="C17" s="458"/>
      <c r="D17" s="461" t="s">
        <v>955</v>
      </c>
      <c r="E17" s="462">
        <f>IF(Input!$E$5="","",Input!$E$5)</f>
      </c>
      <c r="F17" s="463"/>
      <c r="G17" s="474"/>
      <c r="H17" s="465">
        <v>4</v>
      </c>
      <c r="I17" s="466">
        <f>IF(Input!$C$67="","",Input!$C$67)</f>
      </c>
      <c r="J17" s="465">
        <v>8</v>
      </c>
      <c r="K17" s="466">
        <f>IF(Input!$E$67="","",Input!$E$67)</f>
      </c>
      <c r="L17" s="461" t="s">
        <v>977</v>
      </c>
      <c r="M17" s="472">
        <f>IF(Input!$B$31="","",Input!$B$31)</f>
      </c>
      <c r="N17" s="473"/>
      <c r="O17" s="656"/>
      <c r="P17" s="668"/>
      <c r="Q17" s="668"/>
      <c r="R17" s="30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</row>
    <row r="18" spans="1:75" ht="12.75">
      <c r="A18" s="458"/>
      <c r="B18" s="458"/>
      <c r="C18" s="458"/>
      <c r="D18" s="475" t="s">
        <v>49</v>
      </c>
      <c r="E18" s="462">
        <f>IF(Input!$E$6="","",Input!$E$6)</f>
      </c>
      <c r="F18" s="463"/>
      <c r="G18" s="461" t="s">
        <v>1256</v>
      </c>
      <c r="H18" s="476">
        <f>IF(Input!$B$68="","",Input!$B$68)</f>
      </c>
      <c r="I18" s="477"/>
      <c r="J18" s="477"/>
      <c r="K18" s="477"/>
      <c r="L18" s="461" t="s">
        <v>972</v>
      </c>
      <c r="M18" s="472">
        <f>IF(Input!$B$32="","",Input!$B$32)</f>
      </c>
      <c r="N18" s="473"/>
      <c r="O18" s="798"/>
      <c r="P18" s="65"/>
      <c r="Q18" s="832"/>
      <c r="R18" s="268"/>
      <c r="S18" s="143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</row>
    <row r="19" spans="1:75" ht="12.75">
      <c r="A19" s="458"/>
      <c r="B19" s="458"/>
      <c r="C19" s="458"/>
      <c r="D19" s="475" t="s">
        <v>105</v>
      </c>
      <c r="E19" s="462">
        <f>IF(Input!$E$7="","",Input!$E$7)</f>
      </c>
      <c r="F19" s="463"/>
      <c r="G19" s="461" t="s">
        <v>1255</v>
      </c>
      <c r="H19" s="476">
        <f>IF('Setup Bm Input'!$A$46="","",'Setup Bm Input'!$A$46)</f>
      </c>
      <c r="I19" s="477"/>
      <c r="J19" s="477"/>
      <c r="K19" s="477"/>
      <c r="L19" s="461" t="s">
        <v>978</v>
      </c>
      <c r="M19" s="472">
        <f>IF(Input!$B$33="","",Input!$B$33)</f>
      </c>
      <c r="N19" s="473"/>
      <c r="O19" s="798"/>
      <c r="P19" s="65"/>
      <c r="Q19" s="832"/>
      <c r="R19" s="268"/>
      <c r="S19" s="143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</row>
    <row r="20" spans="1:75" ht="12.75">
      <c r="A20" s="458"/>
      <c r="B20" s="458"/>
      <c r="C20" s="458"/>
      <c r="D20" s="475" t="s">
        <v>48</v>
      </c>
      <c r="E20" s="462">
        <f>IF(Input!$E$8="","",Input!$E$8)</f>
      </c>
      <c r="F20" s="463"/>
      <c r="G20" s="477"/>
      <c r="H20" s="477"/>
      <c r="I20" s="477"/>
      <c r="J20" s="477"/>
      <c r="K20" s="477"/>
      <c r="L20" s="461" t="s">
        <v>975</v>
      </c>
      <c r="M20" s="472">
        <f>IF(Input!$B$34="","",Input!$B$34)</f>
      </c>
      <c r="N20" s="473"/>
      <c r="O20" s="798"/>
      <c r="P20" s="65"/>
      <c r="Q20" s="832"/>
      <c r="R20" s="273"/>
      <c r="S20" s="143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</row>
    <row r="21" spans="1:75" ht="12.75">
      <c r="A21" s="458"/>
      <c r="B21" s="458"/>
      <c r="C21" s="458"/>
      <c r="D21" s="461" t="s">
        <v>981</v>
      </c>
      <c r="E21" s="462">
        <f>IF(Input!$B$37="","",Input!$B$37)</f>
      </c>
      <c r="F21" s="463"/>
      <c r="G21" s="477"/>
      <c r="H21" s="477"/>
      <c r="I21" s="477"/>
      <c r="J21" s="477"/>
      <c r="K21" s="477"/>
      <c r="L21" s="461" t="s">
        <v>979</v>
      </c>
      <c r="M21" s="472">
        <f>IF(Input!$B$35="","",Input!$B$35)</f>
      </c>
      <c r="N21" s="473"/>
      <c r="O21" s="65"/>
      <c r="P21" s="65"/>
      <c r="Q21" s="65"/>
      <c r="R21" s="60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</row>
    <row r="22" spans="1:75" ht="12.75">
      <c r="A22" s="458"/>
      <c r="B22" s="458"/>
      <c r="C22" s="458"/>
      <c r="D22" s="461" t="s">
        <v>97</v>
      </c>
      <c r="E22" s="538"/>
      <c r="F22" s="539"/>
      <c r="G22" s="477"/>
      <c r="H22" s="477"/>
      <c r="I22" s="477"/>
      <c r="J22" s="477"/>
      <c r="K22" s="477"/>
      <c r="L22" s="461" t="s">
        <v>980</v>
      </c>
      <c r="M22" s="472">
        <f>IF(Input!$B$36="","",Input!$B$36)</f>
      </c>
      <c r="N22" s="473"/>
      <c r="O22" s="320"/>
      <c r="P22" s="65"/>
      <c r="Q22" s="65"/>
      <c r="R22" s="60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</row>
    <row r="23" spans="1:75" ht="12.75">
      <c r="A23" s="458"/>
      <c r="B23" s="458"/>
      <c r="C23" s="458"/>
      <c r="D23" s="461" t="s">
        <v>103</v>
      </c>
      <c r="E23" s="462">
        <f>IF(Input!$B$9="","",Input!$B$9)</f>
      </c>
      <c r="F23" s="463"/>
      <c r="G23" s="477"/>
      <c r="H23" s="477"/>
      <c r="I23" s="477"/>
      <c r="J23" s="477"/>
      <c r="K23" s="477"/>
      <c r="L23" s="478"/>
      <c r="M23" s="479"/>
      <c r="N23" s="480"/>
      <c r="O23" s="706"/>
      <c r="P23" s="65"/>
      <c r="Q23" s="65"/>
      <c r="R23" s="60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</row>
    <row r="24" spans="1:75" ht="12.75">
      <c r="A24" s="458"/>
      <c r="B24" s="458"/>
      <c r="C24" s="458"/>
      <c r="D24" s="461" t="s">
        <v>104</v>
      </c>
      <c r="E24" s="481">
        <f>'Setup Bm Input'!$B$34</f>
      </c>
      <c r="F24" s="463">
        <f>IF(Input!$B$6="","",IF(Input!$B$6="E","in.",IF(Input!$B$6="M","mm")))</f>
      </c>
      <c r="I24" s="477"/>
      <c r="J24" s="477"/>
      <c r="K24" s="477"/>
      <c r="L24" s="482"/>
      <c r="M24" s="483"/>
      <c r="N24" s="480"/>
      <c r="O24" s="64"/>
      <c r="P24" s="64"/>
      <c r="Q24" s="65"/>
      <c r="R24" s="60"/>
      <c r="S24" s="125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</row>
    <row r="25" spans="1:67" ht="12.75">
      <c r="A25" s="320"/>
      <c r="B25" s="65"/>
      <c r="C25" s="670"/>
      <c r="D25" s="670"/>
      <c r="E25" s="989"/>
      <c r="F25" s="989"/>
      <c r="G25" s="458"/>
      <c r="H25" s="458"/>
      <c r="I25" s="458"/>
      <c r="J25" s="239"/>
      <c r="K25" s="705"/>
      <c r="L25" s="656"/>
      <c r="M25" s="656"/>
      <c r="N25" s="656"/>
      <c r="O25" s="656"/>
      <c r="P25" s="668"/>
      <c r="Q25" s="668"/>
      <c r="R25" s="30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</row>
    <row r="26" spans="1:67" ht="12.75">
      <c r="A26" s="458"/>
      <c r="B26" s="458"/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510"/>
      <c r="Q26" s="510"/>
      <c r="R26" s="30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</row>
    <row r="27" spans="1:75" ht="12.75">
      <c r="A27" s="458"/>
      <c r="B27" s="458"/>
      <c r="C27" s="1042" t="s">
        <v>789</v>
      </c>
      <c r="D27" s="1043"/>
      <c r="E27" s="642" t="s">
        <v>923</v>
      </c>
      <c r="F27" s="580"/>
      <c r="G27" s="799"/>
      <c r="H27" s="623" t="s">
        <v>890</v>
      </c>
      <c r="I27" s="800"/>
      <c r="J27" s="458"/>
      <c r="K27" s="458"/>
      <c r="L27" s="799"/>
      <c r="M27" s="801" t="s">
        <v>898</v>
      </c>
      <c r="N27" s="580"/>
      <c r="O27" s="815"/>
      <c r="P27" s="821" t="s">
        <v>926</v>
      </c>
      <c r="Q27" s="988" t="s">
        <v>111</v>
      </c>
      <c r="R27" s="264"/>
      <c r="S27" s="125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</row>
    <row r="28" spans="1:75" ht="12.75">
      <c r="A28" s="802" t="s">
        <v>582</v>
      </c>
      <c r="B28" s="803"/>
      <c r="C28" s="558">
        <f>IF(Input!$B$6="","","Left")</f>
      </c>
      <c r="D28" s="558">
        <f>IF(Input!$B$6="","","Right")</f>
      </c>
      <c r="E28" s="662" t="s">
        <v>921</v>
      </c>
      <c r="F28" s="662" t="s">
        <v>922</v>
      </c>
      <c r="G28" s="805" t="s">
        <v>896</v>
      </c>
      <c r="H28" s="666" t="s">
        <v>921</v>
      </c>
      <c r="I28" s="806" t="s">
        <v>922</v>
      </c>
      <c r="J28" s="737" t="s">
        <v>897</v>
      </c>
      <c r="K28" s="807" t="s">
        <v>586</v>
      </c>
      <c r="L28" s="758" t="s">
        <v>899</v>
      </c>
      <c r="M28" s="808" t="s">
        <v>901</v>
      </c>
      <c r="N28" s="808" t="s">
        <v>914</v>
      </c>
      <c r="O28" s="833" t="s">
        <v>924</v>
      </c>
      <c r="P28" s="834" t="s">
        <v>903</v>
      </c>
      <c r="Q28" s="987" t="s">
        <v>1272</v>
      </c>
      <c r="R28" s="264"/>
      <c r="S28" s="125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</row>
    <row r="29" spans="1:75" ht="12.75">
      <c r="A29" s="809"/>
      <c r="B29" s="810" t="s">
        <v>587</v>
      </c>
      <c r="C29" s="558">
        <f>IF(Input!$B$6="","",IF(Input!$B$6="E","ft.-in.",IF(Input!$B$6="M","meters")))</f>
      </c>
      <c r="D29" s="558">
        <f>IF(Input!$B$6="","",IF(Input!$B$6="E","ft.-in.",IF(Input!$B$6="M","meters")))</f>
      </c>
      <c r="E29" s="811">
        <f>IF(Input!$B$6="","",IF(Input!$B$6="E","in.",IF(Input!$B$6="M","mm")))</f>
      </c>
      <c r="F29" s="811">
        <f>IF(Input!$B$6="","",IF(Input!$B$6="E","in.",IF(Input!$B$6="M","mm")))</f>
      </c>
      <c r="G29" s="805">
        <f>IF(Input!$B$6="","",IF(Input!$B$6="E","in.",IF(Input!$B$6="M","mm")))</f>
      </c>
      <c r="H29" s="812">
        <f>IF(Input!$B$6="","",IF(Input!$B$6="E","in.",IF(Input!$B$6="M","mm")))</f>
      </c>
      <c r="I29" s="813">
        <f>IF(Input!$B$6="","",IF(Input!$B$6="E","in.",IF(Input!$B$6="M","mm")))</f>
      </c>
      <c r="J29" s="664">
        <f>IF(Input!$B$6="","",IF(Input!$B$6="E","in.",IF(Input!$B$6="M","mm")))</f>
      </c>
      <c r="K29" s="811">
        <f>IF(Input!$B$6="","",IF(Input!$B$6="E","in.",IF(Input!$B$6="M","mm")))</f>
      </c>
      <c r="L29" s="259" t="s">
        <v>900</v>
      </c>
      <c r="M29" s="814" t="s">
        <v>902</v>
      </c>
      <c r="N29" s="814" t="s">
        <v>915</v>
      </c>
      <c r="O29" s="829" t="s">
        <v>925</v>
      </c>
      <c r="P29" s="829" t="s">
        <v>904</v>
      </c>
      <c r="Q29" s="829" t="s">
        <v>856</v>
      </c>
      <c r="R29" s="264"/>
      <c r="S29" s="125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</row>
    <row r="30" spans="1:75" ht="12.75">
      <c r="A30" s="1040">
        <f>IF(Input!$C$64="","",Input!$C$64)</f>
      </c>
      <c r="B30" s="707" t="s">
        <v>588</v>
      </c>
      <c r="C30" s="104"/>
      <c r="D30" s="104"/>
      <c r="E30" s="277"/>
      <c r="F30" s="277"/>
      <c r="G30" s="278"/>
      <c r="H30" s="195"/>
      <c r="I30" s="282"/>
      <c r="J30" s="280"/>
      <c r="K30" s="274"/>
      <c r="L30" s="284"/>
      <c r="M30" s="275"/>
      <c r="N30" s="292"/>
      <c r="O30" s="294"/>
      <c r="P30" s="294"/>
      <c r="Q30" s="294"/>
      <c r="R30" s="264"/>
      <c r="S30" s="125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</row>
    <row r="31" spans="1:75" ht="12.75">
      <c r="A31" s="1041"/>
      <c r="B31" s="810" t="s">
        <v>589</v>
      </c>
      <c r="C31" s="95"/>
      <c r="D31" s="95"/>
      <c r="E31" s="214"/>
      <c r="F31" s="214"/>
      <c r="G31" s="279"/>
      <c r="H31" s="94"/>
      <c r="I31" s="283"/>
      <c r="J31" s="281"/>
      <c r="K31" s="221"/>
      <c r="L31" s="286"/>
      <c r="M31" s="276"/>
      <c r="N31" s="293"/>
      <c r="O31" s="295"/>
      <c r="P31" s="295"/>
      <c r="Q31" s="295"/>
      <c r="R31" s="264"/>
      <c r="S31" s="125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</row>
    <row r="32" spans="1:75" ht="12.75">
      <c r="A32" s="1040">
        <f>IF(Input!$C$65="","",Input!$C$65)</f>
      </c>
      <c r="B32" s="810" t="s">
        <v>588</v>
      </c>
      <c r="C32" s="95"/>
      <c r="D32" s="95"/>
      <c r="E32" s="214"/>
      <c r="F32" s="214"/>
      <c r="G32" s="278"/>
      <c r="H32" s="94"/>
      <c r="I32" s="282"/>
      <c r="J32" s="280"/>
      <c r="K32" s="274"/>
      <c r="L32" s="284"/>
      <c r="M32" s="275"/>
      <c r="N32" s="292"/>
      <c r="O32" s="294"/>
      <c r="P32" s="294"/>
      <c r="Q32" s="294"/>
      <c r="R32" s="264"/>
      <c r="S32" s="125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</row>
    <row r="33" spans="1:75" ht="12.75">
      <c r="A33" s="1041"/>
      <c r="B33" s="810" t="s">
        <v>589</v>
      </c>
      <c r="C33" s="95"/>
      <c r="D33" s="95"/>
      <c r="E33" s="214"/>
      <c r="F33" s="214"/>
      <c r="G33" s="279"/>
      <c r="H33" s="94"/>
      <c r="I33" s="283"/>
      <c r="J33" s="281"/>
      <c r="K33" s="221"/>
      <c r="L33" s="286"/>
      <c r="M33" s="276"/>
      <c r="N33" s="293"/>
      <c r="O33" s="295"/>
      <c r="P33" s="295"/>
      <c r="Q33" s="295"/>
      <c r="R33" s="265"/>
      <c r="S33" s="125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</row>
    <row r="34" spans="1:75" ht="12.75">
      <c r="A34" s="1040">
        <f>IF(Input!$C$66="","",Input!$C$66)</f>
      </c>
      <c r="B34" s="810" t="s">
        <v>588</v>
      </c>
      <c r="C34" s="95"/>
      <c r="D34" s="95"/>
      <c r="E34" s="214"/>
      <c r="F34" s="214"/>
      <c r="G34" s="278"/>
      <c r="H34" s="94"/>
      <c r="I34" s="282"/>
      <c r="J34" s="280"/>
      <c r="K34" s="274"/>
      <c r="L34" s="284"/>
      <c r="M34" s="275"/>
      <c r="N34" s="292"/>
      <c r="O34" s="294"/>
      <c r="P34" s="294"/>
      <c r="Q34" s="294"/>
      <c r="R34" s="265"/>
      <c r="S34" s="125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</row>
    <row r="35" spans="1:75" ht="12.75">
      <c r="A35" s="1041"/>
      <c r="B35" s="810" t="s">
        <v>589</v>
      </c>
      <c r="C35" s="95"/>
      <c r="D35" s="95"/>
      <c r="E35" s="214"/>
      <c r="F35" s="214"/>
      <c r="G35" s="279"/>
      <c r="H35" s="94"/>
      <c r="I35" s="283"/>
      <c r="J35" s="281"/>
      <c r="K35" s="221"/>
      <c r="L35" s="286"/>
      <c r="M35" s="276"/>
      <c r="N35" s="293"/>
      <c r="O35" s="295"/>
      <c r="P35" s="295"/>
      <c r="Q35" s="295"/>
      <c r="R35" s="60"/>
      <c r="S35" s="125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</row>
    <row r="36" spans="1:75" ht="12.75">
      <c r="A36" s="1040">
        <f>IF(Input!$C$67="","",Input!$C$67)</f>
      </c>
      <c r="B36" s="810" t="s">
        <v>588</v>
      </c>
      <c r="C36" s="95"/>
      <c r="D36" s="95"/>
      <c r="E36" s="214"/>
      <c r="F36" s="214"/>
      <c r="G36" s="278"/>
      <c r="H36" s="94"/>
      <c r="I36" s="282"/>
      <c r="J36" s="280"/>
      <c r="K36" s="274"/>
      <c r="L36" s="284"/>
      <c r="M36" s="275"/>
      <c r="N36" s="292"/>
      <c r="O36" s="294"/>
      <c r="P36" s="294"/>
      <c r="Q36" s="294"/>
      <c r="R36" s="137"/>
      <c r="S36" s="125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</row>
    <row r="37" spans="1:75" ht="12.75">
      <c r="A37" s="1041"/>
      <c r="B37" s="810" t="s">
        <v>589</v>
      </c>
      <c r="C37" s="95"/>
      <c r="D37" s="95"/>
      <c r="E37" s="214"/>
      <c r="F37" s="214"/>
      <c r="G37" s="279"/>
      <c r="H37" s="94"/>
      <c r="I37" s="283"/>
      <c r="J37" s="281"/>
      <c r="K37" s="221"/>
      <c r="L37" s="286"/>
      <c r="M37" s="276"/>
      <c r="N37" s="293"/>
      <c r="O37" s="295"/>
      <c r="P37" s="295"/>
      <c r="Q37" s="295"/>
      <c r="R37" s="155"/>
      <c r="S37" s="125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</row>
    <row r="38" spans="1:75" ht="12.75">
      <c r="A38" s="1040">
        <f>IF(Input!$E$64="","",Input!$E$64)</f>
      </c>
      <c r="B38" s="810" t="s">
        <v>588</v>
      </c>
      <c r="C38" s="95"/>
      <c r="D38" s="95"/>
      <c r="E38" s="214"/>
      <c r="F38" s="214"/>
      <c r="G38" s="278"/>
      <c r="H38" s="94"/>
      <c r="I38" s="282"/>
      <c r="J38" s="280"/>
      <c r="K38" s="274"/>
      <c r="L38" s="284"/>
      <c r="M38" s="275"/>
      <c r="N38" s="292"/>
      <c r="O38" s="294"/>
      <c r="P38" s="294"/>
      <c r="Q38" s="294"/>
      <c r="R38" s="155"/>
      <c r="S38" s="125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</row>
    <row r="39" spans="1:75" ht="12.75">
      <c r="A39" s="1041"/>
      <c r="B39" s="810" t="s">
        <v>589</v>
      </c>
      <c r="C39" s="95"/>
      <c r="D39" s="95"/>
      <c r="E39" s="214"/>
      <c r="F39" s="214"/>
      <c r="G39" s="279"/>
      <c r="H39" s="94"/>
      <c r="I39" s="283"/>
      <c r="J39" s="281"/>
      <c r="K39" s="221"/>
      <c r="L39" s="286"/>
      <c r="M39" s="276"/>
      <c r="N39" s="293"/>
      <c r="O39" s="295"/>
      <c r="P39" s="295"/>
      <c r="Q39" s="295"/>
      <c r="R39" s="266"/>
      <c r="S39" s="125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</row>
    <row r="40" spans="1:75" ht="12.75">
      <c r="A40" s="1040">
        <f>IF(Input!$E$65="","",Input!$E$65)</f>
      </c>
      <c r="B40" s="810" t="s">
        <v>588</v>
      </c>
      <c r="C40" s="95"/>
      <c r="D40" s="95"/>
      <c r="E40" s="214"/>
      <c r="F40" s="214"/>
      <c r="G40" s="278"/>
      <c r="H40" s="94"/>
      <c r="I40" s="282"/>
      <c r="J40" s="280"/>
      <c r="K40" s="274"/>
      <c r="L40" s="284"/>
      <c r="M40" s="275"/>
      <c r="N40" s="292"/>
      <c r="O40" s="294"/>
      <c r="P40" s="294"/>
      <c r="Q40" s="294"/>
      <c r="R40" s="267"/>
      <c r="S40" s="2"/>
      <c r="T40" s="36"/>
      <c r="U40" s="2"/>
      <c r="V40" s="36"/>
      <c r="W40" s="2"/>
      <c r="X40" s="36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</row>
    <row r="41" spans="1:75" ht="12.75">
      <c r="A41" s="1041"/>
      <c r="B41" s="810" t="s">
        <v>589</v>
      </c>
      <c r="C41" s="95"/>
      <c r="D41" s="95"/>
      <c r="E41" s="214"/>
      <c r="F41" s="214"/>
      <c r="G41" s="279"/>
      <c r="H41" s="94"/>
      <c r="I41" s="283"/>
      <c r="J41" s="281"/>
      <c r="K41" s="221"/>
      <c r="L41" s="286"/>
      <c r="M41" s="276"/>
      <c r="N41" s="293"/>
      <c r="O41" s="295"/>
      <c r="P41" s="295"/>
      <c r="Q41" s="295"/>
      <c r="R41" s="267"/>
      <c r="S41" s="125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</row>
    <row r="42" spans="1:75" ht="12.75">
      <c r="A42" s="1040">
        <f>IF(Input!$E$66="","",Input!$E$66)</f>
      </c>
      <c r="B42" s="810" t="s">
        <v>588</v>
      </c>
      <c r="C42" s="95"/>
      <c r="D42" s="95"/>
      <c r="E42" s="214"/>
      <c r="F42" s="214"/>
      <c r="G42" s="278"/>
      <c r="H42" s="94"/>
      <c r="I42" s="282"/>
      <c r="J42" s="280"/>
      <c r="K42" s="274"/>
      <c r="L42" s="284"/>
      <c r="M42" s="275"/>
      <c r="N42" s="292"/>
      <c r="O42" s="294"/>
      <c r="P42" s="294"/>
      <c r="Q42" s="294"/>
      <c r="R42" s="60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</row>
    <row r="43" spans="1:75" ht="12.75">
      <c r="A43" s="1041"/>
      <c r="B43" s="810" t="s">
        <v>589</v>
      </c>
      <c r="C43" s="95"/>
      <c r="D43" s="95"/>
      <c r="E43" s="214"/>
      <c r="F43" s="214"/>
      <c r="G43" s="279"/>
      <c r="H43" s="94"/>
      <c r="I43" s="283"/>
      <c r="J43" s="281"/>
      <c r="K43" s="221"/>
      <c r="L43" s="286"/>
      <c r="M43" s="276"/>
      <c r="N43" s="293"/>
      <c r="O43" s="295"/>
      <c r="P43" s="295"/>
      <c r="Q43" s="295"/>
      <c r="R43" s="60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</row>
    <row r="44" spans="1:75" ht="12.75">
      <c r="A44" s="1040">
        <f>IF(Input!$E$67="","",Input!$E$67)</f>
      </c>
      <c r="B44" s="810" t="s">
        <v>588</v>
      </c>
      <c r="C44" s="95"/>
      <c r="D44" s="95"/>
      <c r="E44" s="214"/>
      <c r="F44" s="214"/>
      <c r="G44" s="278"/>
      <c r="H44" s="94"/>
      <c r="I44" s="282"/>
      <c r="J44" s="280"/>
      <c r="K44" s="274"/>
      <c r="L44" s="284"/>
      <c r="M44" s="275"/>
      <c r="N44" s="292"/>
      <c r="O44" s="294"/>
      <c r="P44" s="294"/>
      <c r="Q44" s="294"/>
      <c r="R44" s="4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</row>
    <row r="45" spans="1:75" ht="12.75">
      <c r="A45" s="1041"/>
      <c r="B45" s="810" t="s">
        <v>589</v>
      </c>
      <c r="C45" s="95"/>
      <c r="D45" s="95"/>
      <c r="E45" s="214"/>
      <c r="F45" s="214"/>
      <c r="G45" s="279"/>
      <c r="H45" s="94"/>
      <c r="I45" s="283"/>
      <c r="J45" s="281"/>
      <c r="K45" s="221"/>
      <c r="L45" s="286"/>
      <c r="M45" s="276"/>
      <c r="N45" s="293"/>
      <c r="O45" s="295"/>
      <c r="P45" s="295"/>
      <c r="Q45" s="295"/>
      <c r="R45" s="4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</row>
    <row r="46" spans="1:75" ht="12.75">
      <c r="A46" s="458"/>
      <c r="B46" s="458"/>
      <c r="C46" s="458"/>
      <c r="D46" s="458"/>
      <c r="E46" s="458"/>
      <c r="F46" s="458"/>
      <c r="G46" s="458"/>
      <c r="H46" s="458"/>
      <c r="I46" s="458"/>
      <c r="J46" s="458"/>
      <c r="K46" s="458"/>
      <c r="L46" s="458"/>
      <c r="M46" s="458"/>
      <c r="N46" s="458"/>
      <c r="O46" s="458"/>
      <c r="P46" s="458"/>
      <c r="Q46" s="65"/>
      <c r="R46" s="4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</row>
    <row r="47" spans="1:75" ht="12.75">
      <c r="A47" s="458"/>
      <c r="B47" s="458"/>
      <c r="C47" s="458"/>
      <c r="D47" s="458"/>
      <c r="E47" s="495"/>
      <c r="F47" s="514"/>
      <c r="G47" s="495"/>
      <c r="H47" s="458"/>
      <c r="I47" s="835" t="s">
        <v>928</v>
      </c>
      <c r="J47" s="799"/>
      <c r="K47" s="801" t="s">
        <v>918</v>
      </c>
      <c r="L47" s="580"/>
      <c r="M47" s="580"/>
      <c r="N47" s="799" t="s">
        <v>920</v>
      </c>
      <c r="O47" s="580"/>
      <c r="P47" s="799" t="s">
        <v>927</v>
      </c>
      <c r="Q47" s="490"/>
      <c r="R47" s="4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</row>
    <row r="48" spans="1:75" ht="12.75">
      <c r="A48" s="802" t="s">
        <v>582</v>
      </c>
      <c r="B48" s="1063" t="s">
        <v>1276</v>
      </c>
      <c r="C48" s="1062"/>
      <c r="D48" s="1064"/>
      <c r="E48" s="817" t="s">
        <v>905</v>
      </c>
      <c r="F48" s="816"/>
      <c r="G48" s="818" t="s">
        <v>908</v>
      </c>
      <c r="H48" s="836"/>
      <c r="I48" s="567" t="s">
        <v>929</v>
      </c>
      <c r="J48" s="837" t="s">
        <v>911</v>
      </c>
      <c r="K48" s="819" t="s">
        <v>913</v>
      </c>
      <c r="L48" s="819" t="s">
        <v>914</v>
      </c>
      <c r="M48" s="820" t="s">
        <v>916</v>
      </c>
      <c r="N48" s="757" t="s">
        <v>566</v>
      </c>
      <c r="O48" s="838" t="s">
        <v>655</v>
      </c>
      <c r="P48" s="839" t="s">
        <v>352</v>
      </c>
      <c r="Q48" s="840" t="s">
        <v>353</v>
      </c>
      <c r="R48" s="4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</row>
    <row r="49" spans="1:75" ht="12.75">
      <c r="A49" s="809"/>
      <c r="B49" s="812" t="s">
        <v>914</v>
      </c>
      <c r="C49" s="812" t="s">
        <v>1277</v>
      </c>
      <c r="D49" s="811" t="s">
        <v>1278</v>
      </c>
      <c r="E49" s="822" t="s">
        <v>906</v>
      </c>
      <c r="F49" s="823" t="s">
        <v>907</v>
      </c>
      <c r="G49" s="824" t="s">
        <v>910</v>
      </c>
      <c r="H49" s="841" t="s">
        <v>909</v>
      </c>
      <c r="I49" s="665" t="s">
        <v>930</v>
      </c>
      <c r="J49" s="824" t="s">
        <v>912</v>
      </c>
      <c r="K49" s="825" t="s">
        <v>912</v>
      </c>
      <c r="L49" s="825" t="s">
        <v>915</v>
      </c>
      <c r="M49" s="826" t="s">
        <v>917</v>
      </c>
      <c r="N49" s="827" t="s">
        <v>919</v>
      </c>
      <c r="O49" s="828"/>
      <c r="P49" s="842" t="s">
        <v>957</v>
      </c>
      <c r="Q49" s="843" t="s">
        <v>902</v>
      </c>
      <c r="R49" s="4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</row>
    <row r="50" spans="1:75" ht="12.75">
      <c r="A50" s="1040">
        <f>IF(Input!$C$64="","",Input!$C$64)</f>
      </c>
      <c r="B50" s="104"/>
      <c r="C50" s="104"/>
      <c r="D50" s="277"/>
      <c r="E50" s="289"/>
      <c r="F50" s="291"/>
      <c r="G50" s="289"/>
      <c r="H50" s="274"/>
      <c r="I50" s="274"/>
      <c r="J50" s="284"/>
      <c r="K50" s="275"/>
      <c r="L50" s="275"/>
      <c r="M50" s="285"/>
      <c r="N50" s="197"/>
      <c r="O50" s="196"/>
      <c r="P50" s="296"/>
      <c r="Q50" s="298"/>
      <c r="R50" s="4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</row>
    <row r="51" spans="1:75" ht="12.75">
      <c r="A51" s="1041"/>
      <c r="B51" s="95"/>
      <c r="C51" s="95"/>
      <c r="D51" s="214"/>
      <c r="E51" s="288"/>
      <c r="F51" s="290"/>
      <c r="G51" s="288"/>
      <c r="H51" s="221"/>
      <c r="I51" s="221"/>
      <c r="J51" s="286"/>
      <c r="K51" s="276"/>
      <c r="L51" s="276"/>
      <c r="M51" s="287"/>
      <c r="N51" s="194"/>
      <c r="O51" s="51"/>
      <c r="P51" s="297"/>
      <c r="Q51" s="299"/>
      <c r="R51" s="4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</row>
    <row r="52" spans="1:75" ht="12.75">
      <c r="A52" s="1040">
        <f>IF(Input!$C$65="","",Input!$C$65)</f>
      </c>
      <c r="B52" s="95"/>
      <c r="C52" s="95"/>
      <c r="D52" s="214"/>
      <c r="E52" s="289"/>
      <c r="F52" s="291"/>
      <c r="G52" s="289"/>
      <c r="H52" s="274"/>
      <c r="I52" s="274"/>
      <c r="J52" s="284"/>
      <c r="K52" s="275"/>
      <c r="L52" s="275"/>
      <c r="M52" s="285"/>
      <c r="N52" s="197"/>
      <c r="O52" s="196"/>
      <c r="P52" s="296"/>
      <c r="Q52" s="29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</row>
    <row r="53" spans="1:75" ht="12.75">
      <c r="A53" s="1041"/>
      <c r="B53" s="95"/>
      <c r="C53" s="95"/>
      <c r="D53" s="214"/>
      <c r="E53" s="288"/>
      <c r="F53" s="290"/>
      <c r="G53" s="288"/>
      <c r="H53" s="221"/>
      <c r="I53" s="221"/>
      <c r="J53" s="286"/>
      <c r="K53" s="276"/>
      <c r="L53" s="276"/>
      <c r="M53" s="287"/>
      <c r="N53" s="194"/>
      <c r="O53" s="51"/>
      <c r="P53" s="297"/>
      <c r="Q53" s="299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</row>
    <row r="54" spans="1:75" ht="12.75">
      <c r="A54" s="1040">
        <f>IF(Input!$C$66="","",Input!$C$66)</f>
      </c>
      <c r="B54" s="95"/>
      <c r="C54" s="95"/>
      <c r="D54" s="214"/>
      <c r="E54" s="289"/>
      <c r="F54" s="291"/>
      <c r="G54" s="289"/>
      <c r="H54" s="274"/>
      <c r="I54" s="274"/>
      <c r="J54" s="284"/>
      <c r="K54" s="275"/>
      <c r="L54" s="275"/>
      <c r="M54" s="285"/>
      <c r="N54" s="197"/>
      <c r="O54" s="196"/>
      <c r="P54" s="296"/>
      <c r="Q54" s="29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</row>
    <row r="55" spans="1:75" ht="12.75">
      <c r="A55" s="1041"/>
      <c r="B55" s="95"/>
      <c r="C55" s="95"/>
      <c r="D55" s="214"/>
      <c r="E55" s="288"/>
      <c r="F55" s="290"/>
      <c r="G55" s="288"/>
      <c r="H55" s="221"/>
      <c r="I55" s="221"/>
      <c r="J55" s="286"/>
      <c r="K55" s="276"/>
      <c r="L55" s="276"/>
      <c r="M55" s="287"/>
      <c r="N55" s="194"/>
      <c r="O55" s="51"/>
      <c r="P55" s="297"/>
      <c r="Q55" s="299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</row>
    <row r="56" spans="1:75" ht="12.75">
      <c r="A56" s="1040">
        <f>IF(Input!$C$67="","",Input!$C$67)</f>
      </c>
      <c r="B56" s="95"/>
      <c r="C56" s="95"/>
      <c r="D56" s="214"/>
      <c r="E56" s="289"/>
      <c r="F56" s="291"/>
      <c r="G56" s="289"/>
      <c r="H56" s="274"/>
      <c r="I56" s="274"/>
      <c r="J56" s="284"/>
      <c r="K56" s="275"/>
      <c r="L56" s="275"/>
      <c r="M56" s="285"/>
      <c r="N56" s="197"/>
      <c r="O56" s="196"/>
      <c r="P56" s="296"/>
      <c r="Q56" s="29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</row>
    <row r="57" spans="1:75" ht="12.75">
      <c r="A57" s="1041"/>
      <c r="B57" s="95"/>
      <c r="C57" s="95"/>
      <c r="D57" s="214"/>
      <c r="E57" s="288"/>
      <c r="F57" s="290"/>
      <c r="G57" s="288"/>
      <c r="H57" s="221"/>
      <c r="I57" s="221"/>
      <c r="J57" s="286"/>
      <c r="K57" s="276"/>
      <c r="L57" s="276"/>
      <c r="M57" s="287"/>
      <c r="N57" s="194"/>
      <c r="O57" s="51"/>
      <c r="P57" s="297"/>
      <c r="Q57" s="299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</row>
    <row r="58" spans="1:75" ht="12.75">
      <c r="A58" s="1040">
        <f>IF(Input!$E$64="","",Input!$E$64)</f>
      </c>
      <c r="B58" s="95"/>
      <c r="C58" s="95"/>
      <c r="D58" s="214"/>
      <c r="E58" s="289"/>
      <c r="F58" s="291"/>
      <c r="G58" s="289"/>
      <c r="H58" s="274"/>
      <c r="I58" s="274"/>
      <c r="J58" s="284"/>
      <c r="K58" s="275"/>
      <c r="L58" s="275"/>
      <c r="M58" s="285"/>
      <c r="N58" s="197"/>
      <c r="O58" s="196"/>
      <c r="P58" s="296"/>
      <c r="Q58" s="29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</row>
    <row r="59" spans="1:75" ht="12.75">
      <c r="A59" s="1041"/>
      <c r="B59" s="95"/>
      <c r="C59" s="95"/>
      <c r="D59" s="214"/>
      <c r="E59" s="288"/>
      <c r="F59" s="290"/>
      <c r="G59" s="288"/>
      <c r="H59" s="221"/>
      <c r="I59" s="221"/>
      <c r="J59" s="286"/>
      <c r="K59" s="276"/>
      <c r="L59" s="276"/>
      <c r="M59" s="287"/>
      <c r="N59" s="194"/>
      <c r="O59" s="51"/>
      <c r="P59" s="297"/>
      <c r="Q59" s="299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</row>
    <row r="60" spans="1:75" ht="12.75">
      <c r="A60" s="1040">
        <f>IF(Input!$E$65="","",Input!$E$65)</f>
      </c>
      <c r="B60" s="95"/>
      <c r="C60" s="95"/>
      <c r="D60" s="214"/>
      <c r="E60" s="289"/>
      <c r="F60" s="291"/>
      <c r="G60" s="289"/>
      <c r="H60" s="274"/>
      <c r="I60" s="274"/>
      <c r="J60" s="284"/>
      <c r="K60" s="275"/>
      <c r="L60" s="275"/>
      <c r="M60" s="285"/>
      <c r="N60" s="197"/>
      <c r="O60" s="196"/>
      <c r="P60" s="296"/>
      <c r="Q60" s="29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</row>
    <row r="61" spans="1:75" ht="12.75">
      <c r="A61" s="1041"/>
      <c r="B61" s="95"/>
      <c r="C61" s="95"/>
      <c r="D61" s="214"/>
      <c r="E61" s="288"/>
      <c r="F61" s="290"/>
      <c r="G61" s="288"/>
      <c r="H61" s="221"/>
      <c r="I61" s="221"/>
      <c r="J61" s="286"/>
      <c r="K61" s="276"/>
      <c r="L61" s="276"/>
      <c r="M61" s="287"/>
      <c r="N61" s="194"/>
      <c r="O61" s="51"/>
      <c r="P61" s="297"/>
      <c r="Q61" s="299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</row>
    <row r="62" spans="1:75" ht="12.75">
      <c r="A62" s="1040">
        <f>IF(Input!$E$66="","",Input!$E$66)</f>
      </c>
      <c r="B62" s="95"/>
      <c r="C62" s="95"/>
      <c r="D62" s="214"/>
      <c r="E62" s="289"/>
      <c r="F62" s="291"/>
      <c r="G62" s="289"/>
      <c r="H62" s="274"/>
      <c r="I62" s="274"/>
      <c r="J62" s="284"/>
      <c r="K62" s="275"/>
      <c r="L62" s="275"/>
      <c r="M62" s="285"/>
      <c r="N62" s="197"/>
      <c r="O62" s="196"/>
      <c r="P62" s="296"/>
      <c r="Q62" s="29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</row>
    <row r="63" spans="1:75" ht="12.75">
      <c r="A63" s="1041"/>
      <c r="B63" s="95"/>
      <c r="C63" s="95"/>
      <c r="D63" s="214"/>
      <c r="E63" s="288"/>
      <c r="F63" s="290"/>
      <c r="G63" s="288"/>
      <c r="H63" s="221"/>
      <c r="I63" s="221"/>
      <c r="J63" s="286"/>
      <c r="K63" s="276"/>
      <c r="L63" s="276"/>
      <c r="M63" s="287"/>
      <c r="N63" s="194"/>
      <c r="O63" s="51"/>
      <c r="P63" s="297"/>
      <c r="Q63" s="299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</row>
    <row r="64" spans="1:75" ht="12.75">
      <c r="A64" s="1040">
        <f>IF(Input!$E$67="","",Input!$E$67)</f>
      </c>
      <c r="B64" s="95"/>
      <c r="C64" s="95"/>
      <c r="D64" s="214"/>
      <c r="E64" s="289"/>
      <c r="F64" s="291"/>
      <c r="G64" s="289"/>
      <c r="H64" s="274"/>
      <c r="I64" s="274"/>
      <c r="J64" s="284"/>
      <c r="K64" s="275"/>
      <c r="L64" s="275"/>
      <c r="M64" s="285"/>
      <c r="N64" s="197"/>
      <c r="O64" s="196"/>
      <c r="P64" s="296"/>
      <c r="Q64" s="29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</row>
    <row r="65" spans="1:75" ht="12.75">
      <c r="A65" s="1041"/>
      <c r="B65" s="95"/>
      <c r="C65" s="95"/>
      <c r="D65" s="214"/>
      <c r="E65" s="288"/>
      <c r="F65" s="290"/>
      <c r="G65" s="288"/>
      <c r="H65" s="221"/>
      <c r="I65" s="221"/>
      <c r="J65" s="286"/>
      <c r="K65" s="276"/>
      <c r="L65" s="276"/>
      <c r="M65" s="287"/>
      <c r="N65" s="194"/>
      <c r="O65" s="51"/>
      <c r="P65" s="297"/>
      <c r="Q65" s="299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</row>
    <row r="66" spans="1:75" ht="12.75">
      <c r="A66" s="458"/>
      <c r="B66" s="458"/>
      <c r="C66" s="458"/>
      <c r="D66" s="458"/>
      <c r="E66" s="458"/>
      <c r="F66" s="458"/>
      <c r="G66" s="458"/>
      <c r="H66" s="458"/>
      <c r="I66" s="458"/>
      <c r="J66" s="458"/>
      <c r="K66" s="458"/>
      <c r="L66" s="458"/>
      <c r="M66" s="458"/>
      <c r="N66" s="458"/>
      <c r="O66" s="458"/>
      <c r="P66" s="458"/>
      <c r="Q66" s="45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</row>
    <row r="67" spans="1:75" ht="12.75">
      <c r="A67" s="459" t="s">
        <v>796</v>
      </c>
      <c r="B67" s="458"/>
      <c r="C67" s="458"/>
      <c r="D67" s="458"/>
      <c r="E67" s="458"/>
      <c r="F67" s="458"/>
      <c r="G67" s="458"/>
      <c r="H67" s="458"/>
      <c r="I67" s="458"/>
      <c r="J67" s="458"/>
      <c r="K67" s="458"/>
      <c r="L67" s="458"/>
      <c r="M67" s="458"/>
      <c r="N67" s="458"/>
      <c r="O67" s="458"/>
      <c r="P67" s="458"/>
      <c r="Q67" s="45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</row>
    <row r="68" spans="1:75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458"/>
      <c r="Q68" s="45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</row>
    <row r="69" spans="2:75" ht="12.75">
      <c r="B69" s="706" t="s">
        <v>98</v>
      </c>
      <c r="C69" s="68" t="s">
        <v>137</v>
      </c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45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</row>
    <row r="70" spans="2:75" ht="12.75">
      <c r="B70" s="331"/>
      <c r="C70" s="331"/>
      <c r="D70" s="331"/>
      <c r="E70" s="331"/>
      <c r="F70" s="331"/>
      <c r="G70" s="331"/>
      <c r="H70" s="331"/>
      <c r="I70" s="331"/>
      <c r="J70" s="331"/>
      <c r="K70" s="331"/>
      <c r="L70" s="331"/>
      <c r="M70" s="331"/>
      <c r="N70" s="331"/>
      <c r="O70" s="331"/>
      <c r="P70" s="331"/>
      <c r="Q70" s="45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</row>
    <row r="71" spans="1:75" ht="12.75">
      <c r="A71" s="61"/>
      <c r="B71" s="61"/>
      <c r="C71" s="1045"/>
      <c r="D71" s="1046"/>
      <c r="E71" s="61"/>
      <c r="F71" s="61"/>
      <c r="G71" s="61"/>
      <c r="H71" s="61"/>
      <c r="I71" s="61"/>
      <c r="J71" s="61"/>
      <c r="K71" s="61"/>
      <c r="L71" s="458"/>
      <c r="M71" s="458"/>
      <c r="N71" s="458"/>
      <c r="O71" s="458"/>
      <c r="P71" s="458"/>
      <c r="Q71" s="45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</row>
    <row r="72" spans="1:75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706" t="s">
        <v>590</v>
      </c>
      <c r="L72" s="830">
        <f>IF(Input!E14="","",Input!E14)</f>
      </c>
      <c r="M72" s="831"/>
      <c r="N72" s="458"/>
      <c r="O72" s="458"/>
      <c r="P72" s="458"/>
      <c r="Q72" s="45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</row>
    <row r="73" spans="1:75" ht="12.75">
      <c r="A73" s="22" t="s">
        <v>1210</v>
      </c>
      <c r="B73" s="61"/>
      <c r="C73" s="459"/>
      <c r="D73" s="459"/>
      <c r="E73" s="459"/>
      <c r="F73" s="459"/>
      <c r="G73" s="459"/>
      <c r="H73" s="459"/>
      <c r="I73" s="459"/>
      <c r="J73" s="459"/>
      <c r="K73" s="459"/>
      <c r="L73" s="459"/>
      <c r="M73" s="459"/>
      <c r="N73" s="459"/>
      <c r="O73" s="459"/>
      <c r="P73" s="458"/>
      <c r="Q73" s="45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</row>
    <row r="74" spans="20:75" ht="12.75"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</row>
    <row r="75" spans="20:75" ht="12.75"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</row>
    <row r="76" spans="20:75" ht="12.75"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</row>
    <row r="77" spans="20:75" ht="12.75"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</row>
    <row r="78" spans="20:75" ht="12.75"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</row>
    <row r="79" spans="20:75" ht="12.75"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</row>
    <row r="80" spans="20:75" ht="12.75"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</row>
    <row r="81" spans="20:75" ht="12.75"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</row>
    <row r="82" spans="20:75" ht="12.75"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</row>
    <row r="83" spans="20:75" ht="12.75"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</row>
    <row r="84" spans="20:75" ht="12.75"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</row>
    <row r="85" spans="1:75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</row>
    <row r="86" spans="1:75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</row>
    <row r="87" spans="1:75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</row>
    <row r="88" spans="1:75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</row>
    <row r="89" spans="1:75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</row>
    <row r="90" spans="1:75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</row>
    <row r="91" spans="1:75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</row>
    <row r="92" spans="1:75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</row>
    <row r="93" spans="1:75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</row>
    <row r="94" spans="1:75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</row>
    <row r="95" spans="1:75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</row>
    <row r="96" spans="1:75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</row>
    <row r="97" spans="1:75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</row>
    <row r="98" spans="1:75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</row>
    <row r="99" spans="1:75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</row>
    <row r="100" spans="1:75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</row>
    <row r="101" spans="1:75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</row>
    <row r="102" spans="1:75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</row>
    <row r="103" spans="1:75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</row>
    <row r="104" spans="1:75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</row>
    <row r="105" spans="1:75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</row>
    <row r="106" spans="1:75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</row>
    <row r="107" spans="1:75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</row>
    <row r="108" spans="1:75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</row>
    <row r="109" spans="1:75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</row>
    <row r="110" spans="1:75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</row>
    <row r="111" spans="1:75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</row>
    <row r="112" spans="1:75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</row>
    <row r="113" spans="1:75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</row>
    <row r="114" spans="1:75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</row>
    <row r="115" spans="1:75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</row>
    <row r="116" spans="1:75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</row>
    <row r="117" spans="1:75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</row>
    <row r="118" spans="1:75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</row>
    <row r="119" spans="1:75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</row>
    <row r="152" spans="1:19" ht="12.75">
      <c r="A152" s="8"/>
      <c r="B152" s="38"/>
      <c r="J152" s="67"/>
      <c r="K152" s="60"/>
      <c r="L152" s="1044"/>
      <c r="M152" s="1044"/>
      <c r="N152" s="60"/>
      <c r="O152" s="8"/>
      <c r="P152" s="8"/>
      <c r="Q152" s="8"/>
      <c r="R152" s="8"/>
      <c r="S152" s="18"/>
    </row>
    <row r="153" spans="1:19" ht="12.75">
      <c r="A153" s="8"/>
      <c r="B153" s="8"/>
      <c r="J153" s="38"/>
      <c r="K153" s="60"/>
      <c r="L153" s="69"/>
      <c r="M153" s="268"/>
      <c r="N153" s="143"/>
      <c r="O153" s="38"/>
      <c r="P153" s="8"/>
      <c r="Q153" s="8"/>
      <c r="R153" s="8"/>
      <c r="S153" s="18"/>
    </row>
    <row r="154" spans="1:19" ht="12.75">
      <c r="A154" s="8"/>
      <c r="B154" s="8"/>
      <c r="J154" s="38"/>
      <c r="K154" s="60"/>
      <c r="L154" s="69"/>
      <c r="M154" s="269"/>
      <c r="N154" s="143"/>
      <c r="O154" s="38"/>
      <c r="P154" s="8"/>
      <c r="Q154" s="8"/>
      <c r="R154" s="8"/>
      <c r="S154" s="18"/>
    </row>
    <row r="155" spans="1:19" ht="12.75">
      <c r="A155" s="8"/>
      <c r="B155" s="8"/>
      <c r="J155" s="38"/>
      <c r="K155" s="60"/>
      <c r="L155" s="69"/>
      <c r="M155" s="270"/>
      <c r="N155" s="143"/>
      <c r="O155" s="38"/>
      <c r="P155" s="8"/>
      <c r="Q155" s="8"/>
      <c r="R155" s="8"/>
      <c r="S155" s="18"/>
    </row>
    <row r="156" spans="1:19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18"/>
    </row>
    <row r="157" spans="1:19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18"/>
    </row>
    <row r="158" spans="18:19" ht="12.75">
      <c r="R158" s="8"/>
      <c r="S158" s="18"/>
    </row>
    <row r="159" spans="18:19" ht="12.75">
      <c r="R159" s="8"/>
      <c r="S159" s="18"/>
    </row>
    <row r="160" spans="18:19" ht="12.75">
      <c r="R160" s="8"/>
      <c r="S160" s="18"/>
    </row>
    <row r="161" spans="18:19" ht="12.75">
      <c r="R161" s="8"/>
      <c r="S161" s="18"/>
    </row>
    <row r="162" spans="18:19" ht="12.75">
      <c r="R162" s="8"/>
      <c r="S162" s="18"/>
    </row>
    <row r="163" spans="18:19" ht="12.75">
      <c r="R163" s="8"/>
      <c r="S163" s="18"/>
    </row>
    <row r="164" spans="18:19" ht="12.75">
      <c r="R164" s="8"/>
      <c r="S164" s="18"/>
    </row>
    <row r="165" spans="18:19" ht="12.75">
      <c r="R165" s="8"/>
      <c r="S165" s="18"/>
    </row>
    <row r="166" spans="18:19" ht="12.75">
      <c r="R166" s="8"/>
      <c r="S166" s="18"/>
    </row>
    <row r="167" spans="18:19" ht="12.75">
      <c r="R167" s="8"/>
      <c r="S167" s="18"/>
    </row>
    <row r="168" spans="18:19" ht="12.75">
      <c r="R168" s="8"/>
      <c r="S168" s="18"/>
    </row>
    <row r="169" spans="18:19" ht="12.75">
      <c r="R169" s="8"/>
      <c r="S169" s="18"/>
    </row>
    <row r="170" spans="18:19" ht="12.75">
      <c r="R170" s="8"/>
      <c r="S170" s="18"/>
    </row>
    <row r="171" spans="18:19" ht="12.75">
      <c r="R171" s="8"/>
      <c r="S171" s="18"/>
    </row>
    <row r="172" spans="18:19" ht="12.75">
      <c r="R172" s="8"/>
      <c r="S172" s="18"/>
    </row>
    <row r="173" spans="18:19" ht="12.75">
      <c r="R173" s="8"/>
      <c r="S173" s="18"/>
    </row>
    <row r="174" spans="18:19" ht="12.75">
      <c r="R174" s="8"/>
      <c r="S174" s="18"/>
    </row>
    <row r="175" spans="18:19" ht="12.75">
      <c r="R175" s="8"/>
      <c r="S175" s="18"/>
    </row>
    <row r="176" spans="18:19" ht="12.75">
      <c r="R176" s="8"/>
      <c r="S176" s="18"/>
    </row>
    <row r="177" spans="18:19" ht="12.75">
      <c r="R177" s="8"/>
      <c r="S177" s="18"/>
    </row>
    <row r="178" spans="18:19" ht="12.75">
      <c r="R178" s="8"/>
      <c r="S178" s="18"/>
    </row>
    <row r="179" spans="18:19" ht="12.75">
      <c r="R179" s="8"/>
      <c r="S179" s="18"/>
    </row>
    <row r="180" spans="18:19" ht="12.75">
      <c r="R180" s="8"/>
      <c r="S180" s="18"/>
    </row>
    <row r="181" spans="18:19" ht="12.75">
      <c r="R181" s="38"/>
      <c r="S181" s="18"/>
    </row>
    <row r="182" spans="18:19" ht="12.75">
      <c r="R182" s="18"/>
      <c r="S182" s="18"/>
    </row>
    <row r="183" spans="18:19" ht="12.75">
      <c r="R183" s="18"/>
      <c r="S183" s="18"/>
    </row>
    <row r="184" spans="18:19" ht="12.75">
      <c r="R184" s="18"/>
      <c r="S184" s="18"/>
    </row>
    <row r="185" spans="18:19" ht="12.75">
      <c r="R185" s="18"/>
      <c r="S185" s="18"/>
    </row>
    <row r="186" spans="18:19" ht="12.75">
      <c r="R186" s="18"/>
      <c r="S186" s="18"/>
    </row>
    <row r="187" spans="18:19" ht="12.75">
      <c r="R187" s="18"/>
      <c r="S187" s="18"/>
    </row>
    <row r="188" spans="18:19" ht="12.75">
      <c r="R188" s="18"/>
      <c r="S188" s="18"/>
    </row>
    <row r="189" spans="1:19" ht="12.7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</row>
    <row r="190" spans="1:19" ht="12.7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</row>
    <row r="191" spans="1:19" ht="12.7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</row>
    <row r="192" spans="1:19" ht="12.7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</row>
  </sheetData>
  <sheetProtection sheet="1"/>
  <mergeCells count="25">
    <mergeCell ref="L152:M152"/>
    <mergeCell ref="A38:A39"/>
    <mergeCell ref="A40:A41"/>
    <mergeCell ref="A52:A53"/>
    <mergeCell ref="A54:A55"/>
    <mergeCell ref="A56:A57"/>
    <mergeCell ref="C71:D71"/>
    <mergeCell ref="A58:A59"/>
    <mergeCell ref="A60:A61"/>
    <mergeCell ref="B48:D48"/>
    <mergeCell ref="A62:A63"/>
    <mergeCell ref="A64:A65"/>
    <mergeCell ref="A50:A51"/>
    <mergeCell ref="A32:A33"/>
    <mergeCell ref="A30:A31"/>
    <mergeCell ref="A34:A35"/>
    <mergeCell ref="A1:C1"/>
    <mergeCell ref="A13:Q13"/>
    <mergeCell ref="A12:Q12"/>
    <mergeCell ref="A11:Q11"/>
    <mergeCell ref="A10:Q10"/>
    <mergeCell ref="A44:A45"/>
    <mergeCell ref="A42:A43"/>
    <mergeCell ref="A36:A37"/>
    <mergeCell ref="C27:D27"/>
  </mergeCells>
  <printOptions horizontalCentered="1" verticalCentered="1"/>
  <pageMargins left="0.5" right="0.5" top="0.5" bottom="0.5" header="0" footer="0"/>
  <pageSetup fitToHeight="1" fitToWidth="1" horizontalDpi="600" verticalDpi="600" orientation="landscape" scale="6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R8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5.7109375" style="0" customWidth="1"/>
    <col min="2" max="2" width="12.8515625" style="0" bestFit="1" customWidth="1"/>
    <col min="3" max="3" width="15.7109375" style="0" customWidth="1"/>
    <col min="4" max="4" width="22.8515625" style="0" bestFit="1" customWidth="1"/>
    <col min="5" max="6" width="20.7109375" style="0" customWidth="1"/>
    <col min="8" max="8" width="17.8515625" style="0" bestFit="1" customWidth="1"/>
  </cols>
  <sheetData>
    <row r="1" spans="1:7" ht="12.75">
      <c r="A1" s="1020" t="s">
        <v>834</v>
      </c>
      <c r="B1" s="1020"/>
      <c r="C1" s="1020"/>
      <c r="D1" s="1020"/>
      <c r="E1" s="1020"/>
      <c r="F1" s="1020"/>
      <c r="G1" s="1020"/>
    </row>
    <row r="2" spans="1:9" ht="15.75">
      <c r="A2" s="669" t="s">
        <v>757</v>
      </c>
      <c r="B2" s="458"/>
      <c r="C2" s="668"/>
      <c r="D2" s="668"/>
      <c r="E2" s="668"/>
      <c r="F2" s="668"/>
      <c r="G2" s="668"/>
      <c r="H2" s="668"/>
      <c r="I2" s="495"/>
    </row>
    <row r="3" spans="1:9" ht="12.75">
      <c r="A3" s="510"/>
      <c r="B3" s="700"/>
      <c r="C3" s="794"/>
      <c r="D3" s="700"/>
      <c r="E3" s="794"/>
      <c r="F3" s="700"/>
      <c r="G3" s="794"/>
      <c r="H3" s="668"/>
      <c r="I3" s="495"/>
    </row>
    <row r="4" spans="1:9" ht="12.75">
      <c r="A4" s="510"/>
      <c r="B4" s="700"/>
      <c r="C4" s="794"/>
      <c r="D4" s="700"/>
      <c r="E4" s="794"/>
      <c r="F4" s="700"/>
      <c r="G4" s="794"/>
      <c r="H4" s="668"/>
      <c r="I4" s="495"/>
    </row>
    <row r="5" spans="1:9" ht="12.75">
      <c r="A5" s="510"/>
      <c r="B5" s="700"/>
      <c r="C5" s="794"/>
      <c r="D5" s="700"/>
      <c r="E5" s="794"/>
      <c r="F5" s="700"/>
      <c r="G5" s="794"/>
      <c r="H5" s="668"/>
      <c r="I5" s="495"/>
    </row>
    <row r="6" spans="1:9" ht="12.75">
      <c r="A6" s="495"/>
      <c r="B6" s="668"/>
      <c r="C6" s="668"/>
      <c r="D6" s="668"/>
      <c r="E6" s="668"/>
      <c r="F6" s="668"/>
      <c r="G6" s="668"/>
      <c r="H6" s="668"/>
      <c r="I6" s="495"/>
    </row>
    <row r="7" spans="1:9" ht="12.75">
      <c r="A7" s="458"/>
      <c r="B7" s="458"/>
      <c r="C7" s="458"/>
      <c r="D7" s="458"/>
      <c r="E7" s="458"/>
      <c r="F7" s="458"/>
      <c r="G7" s="458"/>
      <c r="H7" s="458"/>
      <c r="I7" s="458"/>
    </row>
    <row r="8" spans="1:9" ht="12.75">
      <c r="A8" s="844" t="s">
        <v>845</v>
      </c>
      <c r="B8" s="458"/>
      <c r="C8" s="458"/>
      <c r="D8" s="458"/>
      <c r="E8" s="458"/>
      <c r="F8" s="458"/>
      <c r="G8" s="458"/>
      <c r="H8" s="458"/>
      <c r="I8" s="458"/>
    </row>
    <row r="9" spans="1:9" ht="4.5" customHeight="1">
      <c r="A9" s="845"/>
      <c r="B9" s="845"/>
      <c r="C9" s="845"/>
      <c r="D9" s="845"/>
      <c r="E9" s="845"/>
      <c r="F9" s="845"/>
      <c r="G9" s="845"/>
      <c r="H9" s="845"/>
      <c r="I9" s="458"/>
    </row>
    <row r="10" spans="1:18" ht="19.5" customHeight="1">
      <c r="A10" s="22" t="s">
        <v>629</v>
      </c>
      <c r="B10" s="1049" t="str">
        <f>IF(Thermal!A24="","",Thermal!A24)</f>
        <v>Illinois Department of Transportation</v>
      </c>
      <c r="C10" s="1028"/>
      <c r="D10" s="1028"/>
      <c r="E10" s="1028"/>
      <c r="F10" s="1028"/>
      <c r="G10" s="1028"/>
      <c r="H10" s="1028"/>
      <c r="I10" s="22"/>
      <c r="J10" s="21"/>
      <c r="K10" s="21"/>
      <c r="L10" s="21"/>
      <c r="M10" s="21"/>
      <c r="N10" s="21"/>
      <c r="O10" s="38"/>
      <c r="P10" s="38"/>
      <c r="Q10" s="38"/>
      <c r="R10" s="38"/>
    </row>
    <row r="11" spans="1:18" ht="19.5" customHeight="1">
      <c r="A11" s="22"/>
      <c r="B11" s="1038" t="s">
        <v>690</v>
      </c>
      <c r="C11" s="1028"/>
      <c r="D11" s="1028"/>
      <c r="E11" s="1028"/>
      <c r="F11" s="1028"/>
      <c r="G11" s="1028"/>
      <c r="H11" s="1028"/>
      <c r="I11" s="22"/>
      <c r="J11" s="21"/>
      <c r="K11" s="21"/>
      <c r="L11" s="21"/>
      <c r="M11" s="21"/>
      <c r="N11" s="21"/>
      <c r="O11" s="38"/>
      <c r="P11" s="38"/>
      <c r="Q11" s="38"/>
      <c r="R11" s="38"/>
    </row>
    <row r="12" spans="1:18" ht="19.5" customHeight="1">
      <c r="A12" s="22"/>
      <c r="B12" s="22" t="s">
        <v>630</v>
      </c>
      <c r="C12" s="22"/>
      <c r="D12" s="22"/>
      <c r="E12" s="22"/>
      <c r="F12" s="22"/>
      <c r="G12" s="22"/>
      <c r="H12" s="7" t="str">
        <f>Main!J1</f>
        <v>Revised 4/22/16</v>
      </c>
      <c r="I12" s="22"/>
      <c r="J12" s="21"/>
      <c r="K12" s="21"/>
      <c r="L12" s="21"/>
      <c r="M12" s="21"/>
      <c r="N12" s="21"/>
      <c r="O12" s="38"/>
      <c r="P12" s="38"/>
      <c r="Q12" s="38"/>
      <c r="R12" s="38"/>
    </row>
    <row r="13" spans="1:18" ht="19.5" customHeight="1">
      <c r="A13" s="22"/>
      <c r="B13" s="470" t="s">
        <v>736</v>
      </c>
      <c r="C13" s="865">
        <f>IF(Input!E7="","",Input!E7)</f>
      </c>
      <c r="D13" s="470" t="s">
        <v>737</v>
      </c>
      <c r="E13" s="865">
        <f>IF(Input!B37="","",Input!B37)</f>
      </c>
      <c r="F13" s="22"/>
      <c r="G13" s="847"/>
      <c r="H13" s="848"/>
      <c r="I13" s="22"/>
      <c r="J13" s="21"/>
      <c r="K13" s="21"/>
      <c r="L13" s="21"/>
      <c r="M13" s="21"/>
      <c r="N13" s="21"/>
      <c r="O13" s="38"/>
      <c r="P13" s="38"/>
      <c r="Q13" s="38"/>
      <c r="R13" s="38"/>
    </row>
    <row r="14" spans="1:18" ht="19.5" customHeight="1">
      <c r="A14" s="22"/>
      <c r="B14" s="22"/>
      <c r="C14" s="23"/>
      <c r="D14" s="22"/>
      <c r="E14" s="23"/>
      <c r="F14" s="22"/>
      <c r="G14" s="849" t="s">
        <v>624</v>
      </c>
      <c r="H14" s="868">
        <f>IF(Input!B33="","",Input!B33)</f>
      </c>
      <c r="I14" s="22"/>
      <c r="J14" s="21"/>
      <c r="K14" s="21"/>
      <c r="L14" s="21"/>
      <c r="M14" s="21"/>
      <c r="N14" s="21"/>
      <c r="O14" s="38"/>
      <c r="P14" s="38"/>
      <c r="Q14" s="38"/>
      <c r="R14" s="38"/>
    </row>
    <row r="15" spans="1:18" ht="19.5" customHeight="1">
      <c r="A15" s="22"/>
      <c r="B15" s="22" t="s">
        <v>631</v>
      </c>
      <c r="C15" s="23"/>
      <c r="D15" s="22"/>
      <c r="E15" s="23"/>
      <c r="F15" s="22"/>
      <c r="G15" s="849"/>
      <c r="H15" s="869"/>
      <c r="I15" s="22"/>
      <c r="J15" s="21"/>
      <c r="K15" s="21"/>
      <c r="L15" s="21"/>
      <c r="M15" s="21"/>
      <c r="N15" s="21"/>
      <c r="O15" s="38"/>
      <c r="P15" s="38"/>
      <c r="Q15" s="38"/>
      <c r="R15" s="38"/>
    </row>
    <row r="16" spans="1:18" ht="19.5" customHeight="1">
      <c r="A16" s="22"/>
      <c r="B16" s="851" t="s">
        <v>759</v>
      </c>
      <c r="C16" s="865">
        <f>IF(Input!E8="","",Input!E8)</f>
      </c>
      <c r="D16" s="851" t="s">
        <v>632</v>
      </c>
      <c r="E16" s="865">
        <f>IF(C16="","",Input!E7&amp;" "&amp;Input!E11)</f>
      </c>
      <c r="F16" s="846"/>
      <c r="G16" s="849" t="s">
        <v>625</v>
      </c>
      <c r="H16" s="868">
        <f>IF(Input!B31="","",Input!B31)</f>
      </c>
      <c r="I16" s="22"/>
      <c r="J16" s="21"/>
      <c r="K16" s="21"/>
      <c r="L16" s="21"/>
      <c r="M16" s="21"/>
      <c r="N16" s="21"/>
      <c r="O16" s="38"/>
      <c r="P16" s="38"/>
      <c r="Q16" s="38"/>
      <c r="R16" s="38"/>
    </row>
    <row r="17" spans="1:18" ht="19.5" customHeight="1">
      <c r="A17" s="22"/>
      <c r="B17" s="851"/>
      <c r="C17" s="23"/>
      <c r="D17" s="851"/>
      <c r="E17" s="23"/>
      <c r="F17" s="22"/>
      <c r="G17" s="849"/>
      <c r="H17" s="869"/>
      <c r="I17" s="22"/>
      <c r="J17" s="21"/>
      <c r="K17" s="21"/>
      <c r="L17" s="21"/>
      <c r="M17" s="21"/>
      <c r="N17" s="21"/>
      <c r="O17" s="38"/>
      <c r="P17" s="38"/>
      <c r="Q17" s="38"/>
      <c r="R17" s="38"/>
    </row>
    <row r="18" spans="1:18" ht="19.5" customHeight="1">
      <c r="A18" s="22"/>
      <c r="B18" s="851"/>
      <c r="C18" s="865"/>
      <c r="D18" s="851"/>
      <c r="E18" s="865"/>
      <c r="F18" s="22"/>
      <c r="G18" s="849" t="s">
        <v>626</v>
      </c>
      <c r="H18" s="868">
        <f>IF(Input!B30="","",Input!B30)</f>
      </c>
      <c r="I18" s="22"/>
      <c r="J18" s="21"/>
      <c r="K18" s="21"/>
      <c r="L18" s="21"/>
      <c r="M18" s="21"/>
      <c r="N18" s="21"/>
      <c r="O18" s="38"/>
      <c r="P18" s="38"/>
      <c r="Q18" s="38"/>
      <c r="R18" s="38"/>
    </row>
    <row r="19" spans="1:18" ht="19.5" customHeight="1">
      <c r="A19" s="22"/>
      <c r="B19" s="851"/>
      <c r="C19" s="23"/>
      <c r="D19" s="851"/>
      <c r="E19" s="23"/>
      <c r="F19" s="852"/>
      <c r="G19" s="853"/>
      <c r="H19" s="869"/>
      <c r="I19" s="22"/>
      <c r="J19" s="21"/>
      <c r="K19" s="21"/>
      <c r="L19" s="21"/>
      <c r="M19" s="21"/>
      <c r="N19" s="21"/>
      <c r="O19" s="38"/>
      <c r="P19" s="38"/>
      <c r="Q19" s="38"/>
      <c r="R19" s="38"/>
    </row>
    <row r="20" spans="1:18" ht="19.5" customHeight="1">
      <c r="A20" s="22"/>
      <c r="B20" s="854"/>
      <c r="C20" s="865"/>
      <c r="D20" s="851"/>
      <c r="E20" s="865"/>
      <c r="F20" s="668"/>
      <c r="G20" s="853" t="s">
        <v>627</v>
      </c>
      <c r="H20" s="868">
        <f>IF(Input!B35="","",Input!B35)</f>
      </c>
      <c r="I20" s="22"/>
      <c r="J20" s="21"/>
      <c r="K20" s="21"/>
      <c r="L20" s="21"/>
      <c r="M20" s="21"/>
      <c r="N20" s="21"/>
      <c r="O20" s="38"/>
      <c r="P20" s="38"/>
      <c r="Q20" s="38"/>
      <c r="R20" s="38"/>
    </row>
    <row r="21" spans="1:18" ht="19.5" customHeight="1">
      <c r="A21" s="22"/>
      <c r="B21" s="854"/>
      <c r="C21" s="866"/>
      <c r="D21" s="854"/>
      <c r="E21" s="866"/>
      <c r="F21" s="510"/>
      <c r="G21" s="853"/>
      <c r="H21" s="869"/>
      <c r="I21" s="22"/>
      <c r="J21" s="21"/>
      <c r="K21" s="21"/>
      <c r="L21" s="21"/>
      <c r="M21" s="21"/>
      <c r="N21" s="21"/>
      <c r="O21" s="38"/>
      <c r="P21" s="38"/>
      <c r="Q21" s="38"/>
      <c r="R21" s="38"/>
    </row>
    <row r="22" spans="1:18" ht="19.5" customHeight="1">
      <c r="A22" s="22"/>
      <c r="B22" s="851" t="s">
        <v>634</v>
      </c>
      <c r="C22" s="338"/>
      <c r="D22" s="851" t="s">
        <v>635</v>
      </c>
      <c r="E22" s="867"/>
      <c r="F22" s="668"/>
      <c r="G22" s="853" t="s">
        <v>633</v>
      </c>
      <c r="H22" s="868">
        <f>IF(Input!B34="","",Input!B34)</f>
      </c>
      <c r="I22" s="22"/>
      <c r="J22" s="21"/>
      <c r="K22" s="21"/>
      <c r="L22" s="21"/>
      <c r="M22" s="21"/>
      <c r="N22" s="21"/>
      <c r="O22" s="38"/>
      <c r="P22" s="38"/>
      <c r="Q22" s="38"/>
      <c r="R22" s="38"/>
    </row>
    <row r="23" spans="1:18" ht="19.5" customHeight="1">
      <c r="A23" s="22"/>
      <c r="B23" s="22"/>
      <c r="C23" s="22" t="s">
        <v>636</v>
      </c>
      <c r="D23" s="22"/>
      <c r="E23" s="22"/>
      <c r="F23" s="22"/>
      <c r="G23" s="849"/>
      <c r="H23" s="848"/>
      <c r="I23" s="22"/>
      <c r="J23" s="21"/>
      <c r="K23" s="21"/>
      <c r="L23" s="21"/>
      <c r="M23" s="21"/>
      <c r="N23" s="21"/>
      <c r="O23" s="38"/>
      <c r="P23" s="38"/>
      <c r="Q23" s="38"/>
      <c r="R23" s="38"/>
    </row>
    <row r="24" spans="1:18" ht="19.5" customHeight="1">
      <c r="A24" s="22"/>
      <c r="B24" s="458"/>
      <c r="C24" s="458"/>
      <c r="D24" s="458"/>
      <c r="E24" s="458"/>
      <c r="F24" s="22"/>
      <c r="G24" s="855"/>
      <c r="H24" s="850"/>
      <c r="I24" s="22"/>
      <c r="J24" s="21"/>
      <c r="K24" s="21"/>
      <c r="L24" s="21"/>
      <c r="M24" s="21"/>
      <c r="N24" s="21"/>
      <c r="O24" s="38"/>
      <c r="P24" s="38"/>
      <c r="Q24" s="38"/>
      <c r="R24" s="38"/>
    </row>
    <row r="25" spans="1:18" ht="19.5" customHeight="1">
      <c r="A25" s="22"/>
      <c r="B25" s="458"/>
      <c r="C25" s="458"/>
      <c r="D25" s="458"/>
      <c r="E25" s="458"/>
      <c r="F25" s="22"/>
      <c r="G25" s="22"/>
      <c r="H25" s="22"/>
      <c r="I25" s="22"/>
      <c r="J25" s="21"/>
      <c r="K25" s="21"/>
      <c r="L25" s="21"/>
      <c r="M25" s="21"/>
      <c r="N25" s="21"/>
      <c r="O25" s="38"/>
      <c r="P25" s="38"/>
      <c r="Q25" s="38"/>
      <c r="R25" s="38"/>
    </row>
    <row r="26" spans="1:18" ht="19.5" customHeight="1">
      <c r="A26" s="22"/>
      <c r="B26" s="22"/>
      <c r="C26" s="22"/>
      <c r="D26" s="22"/>
      <c r="E26" s="22"/>
      <c r="F26" s="22"/>
      <c r="G26" s="22"/>
      <c r="H26" s="22"/>
      <c r="I26" s="22"/>
      <c r="J26" s="21"/>
      <c r="K26" s="21"/>
      <c r="L26" s="21"/>
      <c r="M26" s="21"/>
      <c r="N26" s="21"/>
      <c r="O26" s="38"/>
      <c r="P26" s="38"/>
      <c r="Q26" s="38"/>
      <c r="R26" s="38"/>
    </row>
    <row r="27" spans="1:18" ht="19.5" customHeight="1">
      <c r="A27" s="856"/>
      <c r="B27" s="857" t="s">
        <v>628</v>
      </c>
      <c r="C27" s="857" t="s">
        <v>637</v>
      </c>
      <c r="D27" s="857" t="s">
        <v>638</v>
      </c>
      <c r="E27" s="857" t="s">
        <v>639</v>
      </c>
      <c r="F27" s="857" t="s">
        <v>640</v>
      </c>
      <c r="G27" s="858" t="s">
        <v>641</v>
      </c>
      <c r="H27" s="859" t="s">
        <v>642</v>
      </c>
      <c r="I27" s="22"/>
      <c r="J27" s="21"/>
      <c r="K27" s="21"/>
      <c r="L27" s="21"/>
      <c r="M27" s="21"/>
      <c r="N27" s="21"/>
      <c r="O27" s="38"/>
      <c r="P27" s="38"/>
      <c r="Q27" s="38"/>
      <c r="R27" s="38"/>
    </row>
    <row r="28" spans="1:18" ht="19.5" customHeight="1">
      <c r="A28" s="860"/>
      <c r="B28" s="861" t="s">
        <v>643</v>
      </c>
      <c r="C28" s="861" t="s">
        <v>644</v>
      </c>
      <c r="D28" s="861" t="s">
        <v>645</v>
      </c>
      <c r="E28" s="861" t="s">
        <v>646</v>
      </c>
      <c r="F28" s="861" t="s">
        <v>758</v>
      </c>
      <c r="G28" s="846" t="s">
        <v>647</v>
      </c>
      <c r="H28" s="860" t="s">
        <v>648</v>
      </c>
      <c r="I28" s="22"/>
      <c r="J28" s="21"/>
      <c r="K28" s="21"/>
      <c r="L28" s="21"/>
      <c r="M28" s="21"/>
      <c r="N28" s="21"/>
      <c r="O28" s="38"/>
      <c r="P28" s="38"/>
      <c r="Q28" s="38"/>
      <c r="R28" s="38"/>
    </row>
    <row r="29" spans="1:18" ht="19.5" customHeight="1">
      <c r="A29" s="870">
        <v>1</v>
      </c>
      <c r="B29" s="871">
        <f>IF(H22="","",H22)</f>
      </c>
      <c r="C29" s="871">
        <f>IF(H20="","",H20)</f>
      </c>
      <c r="D29" s="871">
        <f>IF(Input!$B$10="","",(Input!$B$10&amp;" ("&amp;Input!$E$5&amp;")"))</f>
      </c>
      <c r="E29" s="871"/>
      <c r="F29" s="871">
        <f>IF(Input!C$73="","",Input!C$73)</f>
      </c>
      <c r="G29" s="872">
        <f>IF(Input!E6="","",Input!E6)</f>
      </c>
      <c r="H29" s="873"/>
      <c r="I29" s="22"/>
      <c r="J29" s="21"/>
      <c r="K29" s="21"/>
      <c r="L29" s="21"/>
      <c r="M29" s="21"/>
      <c r="N29" s="21"/>
      <c r="O29" s="38"/>
      <c r="P29" s="38"/>
      <c r="Q29" s="38"/>
      <c r="R29" s="38"/>
    </row>
    <row r="30" spans="1:18" ht="19.5" customHeight="1">
      <c r="A30" s="873"/>
      <c r="B30" s="871"/>
      <c r="C30" s="871">
        <f>IF(F29="","","VIS")</f>
      </c>
      <c r="D30" s="330"/>
      <c r="E30" s="330"/>
      <c r="F30" s="330"/>
      <c r="G30" s="872">
        <f>IF(F29="","",Input!B73)</f>
      </c>
      <c r="H30" s="874">
        <f>IF(F29="","",$E$22)</f>
      </c>
      <c r="I30" s="22"/>
      <c r="J30" s="21"/>
      <c r="K30" s="21"/>
      <c r="L30" s="21"/>
      <c r="M30" s="21"/>
      <c r="N30" s="21"/>
      <c r="O30" s="38"/>
      <c r="P30" s="38"/>
      <c r="Q30" s="38"/>
      <c r="R30" s="38"/>
    </row>
    <row r="31" spans="1:18" ht="19.5" customHeight="1">
      <c r="A31" s="870">
        <v>2</v>
      </c>
      <c r="B31" s="871">
        <f>IF(F31="","",$B$29)</f>
      </c>
      <c r="C31" s="871">
        <f>IF(F31="","",$C$29)</f>
      </c>
      <c r="D31" s="871">
        <f>IF(F31="","",$D$29)</f>
      </c>
      <c r="E31" s="871"/>
      <c r="F31" s="871">
        <f>IF(Input!C74="","",Input!C74)</f>
      </c>
      <c r="G31" s="872">
        <f>IF(F31="","",$G$29)</f>
      </c>
      <c r="H31" s="873"/>
      <c r="I31" s="22"/>
      <c r="J31" s="39"/>
      <c r="K31" s="21"/>
      <c r="L31" s="21"/>
      <c r="M31" s="21"/>
      <c r="N31" s="21"/>
      <c r="O31" s="38"/>
      <c r="P31" s="38"/>
      <c r="Q31" s="38"/>
      <c r="R31" s="38"/>
    </row>
    <row r="32" spans="1:18" ht="19.5" customHeight="1">
      <c r="A32" s="873"/>
      <c r="B32" s="871"/>
      <c r="C32" s="871">
        <f>IF(F31="","","VIS")</f>
      </c>
      <c r="D32" s="330"/>
      <c r="E32" s="330"/>
      <c r="F32" s="330"/>
      <c r="G32" s="872">
        <f>IF(F31="","",Input!B74)</f>
      </c>
      <c r="H32" s="874">
        <f>IF(F31="","",$E$22)</f>
      </c>
      <c r="I32" s="22"/>
      <c r="J32" s="21"/>
      <c r="K32" s="21"/>
      <c r="L32" s="21"/>
      <c r="M32" s="21"/>
      <c r="N32" s="21"/>
      <c r="O32" s="38"/>
      <c r="P32" s="38"/>
      <c r="Q32" s="38"/>
      <c r="R32" s="38"/>
    </row>
    <row r="33" spans="1:18" ht="19.5" customHeight="1">
      <c r="A33" s="870">
        <v>3</v>
      </c>
      <c r="B33" s="871">
        <f>IF(F33="","",$B$29)</f>
      </c>
      <c r="C33" s="871">
        <f>IF(F33="","",$C$29)</f>
      </c>
      <c r="D33" s="871">
        <f>IF(F33="","",$D$29)</f>
      </c>
      <c r="E33" s="871"/>
      <c r="F33" s="871">
        <f>IF(Input!C75="","",Input!C75)</f>
      </c>
      <c r="G33" s="872">
        <f>IF(F33="","",$G$29)</f>
      </c>
      <c r="H33" s="873"/>
      <c r="I33" s="22"/>
      <c r="J33" s="38"/>
      <c r="K33" s="21"/>
      <c r="L33" s="21"/>
      <c r="M33" s="21"/>
      <c r="N33" s="21"/>
      <c r="O33" s="38"/>
      <c r="P33" s="38"/>
      <c r="Q33" s="38"/>
      <c r="R33" s="38"/>
    </row>
    <row r="34" spans="1:18" ht="19.5" customHeight="1">
      <c r="A34" s="873"/>
      <c r="B34" s="871"/>
      <c r="C34" s="871">
        <f>IF(F33="","","VIS")</f>
      </c>
      <c r="D34" s="330"/>
      <c r="E34" s="330"/>
      <c r="F34" s="330"/>
      <c r="G34" s="872">
        <f>IF(F33="","",Input!B75)</f>
      </c>
      <c r="H34" s="874">
        <f>IF(F33="","",$E$22)</f>
      </c>
      <c r="I34" s="22"/>
      <c r="J34" s="21"/>
      <c r="K34" s="21"/>
      <c r="L34" s="21"/>
      <c r="M34" s="21"/>
      <c r="N34" s="21"/>
      <c r="O34" s="38"/>
      <c r="P34" s="38"/>
      <c r="Q34" s="38"/>
      <c r="R34" s="38"/>
    </row>
    <row r="35" spans="1:18" ht="19.5" customHeight="1">
      <c r="A35" s="870">
        <v>4</v>
      </c>
      <c r="B35" s="871">
        <f>IF(F35="","",$B$29)</f>
      </c>
      <c r="C35" s="871">
        <f>IF(F35="","",$C$29)</f>
      </c>
      <c r="D35" s="871">
        <f>IF(F35="","",$D$29)</f>
      </c>
      <c r="E35" s="871"/>
      <c r="F35" s="871">
        <f>IF(Input!C76="","",Input!C76)</f>
      </c>
      <c r="G35" s="872">
        <f>IF(F35="","",$G$29)</f>
      </c>
      <c r="H35" s="873"/>
      <c r="I35" s="22"/>
      <c r="J35" s="21"/>
      <c r="K35" s="21"/>
      <c r="L35" s="21"/>
      <c r="M35" s="21"/>
      <c r="N35" s="21"/>
      <c r="O35" s="38"/>
      <c r="P35" s="38"/>
      <c r="Q35" s="38"/>
      <c r="R35" s="38"/>
    </row>
    <row r="36" spans="1:18" ht="19.5" customHeight="1">
      <c r="A36" s="873"/>
      <c r="B36" s="871"/>
      <c r="C36" s="871">
        <f>IF(F35="","","VIS")</f>
      </c>
      <c r="D36" s="330"/>
      <c r="E36" s="330"/>
      <c r="F36" s="330"/>
      <c r="G36" s="872">
        <f>IF(F35="","",Input!B76)</f>
      </c>
      <c r="H36" s="874">
        <f>IF(F35="","",$E$22)</f>
      </c>
      <c r="I36" s="22"/>
      <c r="J36" s="21"/>
      <c r="K36" s="21"/>
      <c r="L36" s="21"/>
      <c r="M36" s="21"/>
      <c r="N36" s="21"/>
      <c r="O36" s="38"/>
      <c r="P36" s="38"/>
      <c r="Q36" s="38"/>
      <c r="R36" s="38"/>
    </row>
    <row r="37" spans="1:18" ht="19.5" customHeight="1">
      <c r="A37" s="870">
        <v>5</v>
      </c>
      <c r="B37" s="871">
        <f>IF(F37="","",$B$29)</f>
      </c>
      <c r="C37" s="871">
        <f>IF(F37="","",$C$29)</f>
      </c>
      <c r="D37" s="871">
        <f>IF(F37="","",$D$29)</f>
      </c>
      <c r="E37" s="871"/>
      <c r="F37" s="871">
        <f>IF(Input!C77="","",Input!C77)</f>
      </c>
      <c r="G37" s="872">
        <f>IF(F37="","",$G$29)</f>
      </c>
      <c r="H37" s="873"/>
      <c r="I37" s="22"/>
      <c r="J37" s="21"/>
      <c r="K37" s="21"/>
      <c r="L37" s="21"/>
      <c r="M37" s="21"/>
      <c r="N37" s="21"/>
      <c r="O37" s="38"/>
      <c r="P37" s="38"/>
      <c r="Q37" s="38"/>
      <c r="R37" s="38"/>
    </row>
    <row r="38" spans="1:18" ht="19.5" customHeight="1">
      <c r="A38" s="873"/>
      <c r="B38" s="871"/>
      <c r="C38" s="871">
        <f>IF(F37="","","VIS")</f>
      </c>
      <c r="D38" s="330"/>
      <c r="E38" s="330"/>
      <c r="F38" s="330"/>
      <c r="G38" s="872">
        <f>IF(F37="","",Input!B77)</f>
      </c>
      <c r="H38" s="874">
        <f>IF(F37="","",$E$22)</f>
      </c>
      <c r="I38" s="22"/>
      <c r="J38" s="21"/>
      <c r="K38" s="21"/>
      <c r="L38" s="21"/>
      <c r="M38" s="21"/>
      <c r="N38" s="21"/>
      <c r="O38" s="38"/>
      <c r="P38" s="38"/>
      <c r="Q38" s="38"/>
      <c r="R38" s="38"/>
    </row>
    <row r="39" spans="1:18" ht="19.5" customHeight="1">
      <c r="A39" s="875">
        <v>6</v>
      </c>
      <c r="B39" s="871">
        <f>IF(F39="","",$B$29)</f>
      </c>
      <c r="C39" s="871">
        <f>IF(F39="","",$C$29)</f>
      </c>
      <c r="D39" s="871">
        <f>IF(F39="","",$D$29)</f>
      </c>
      <c r="E39" s="871"/>
      <c r="F39" s="871">
        <f>IF(Input!C78="","",Input!C78)</f>
      </c>
      <c r="G39" s="872">
        <f>IF(F39="","",$G$29)</f>
      </c>
      <c r="H39" s="874"/>
      <c r="I39" s="22"/>
      <c r="J39" s="21"/>
      <c r="K39" s="21"/>
      <c r="L39" s="21"/>
      <c r="M39" s="21"/>
      <c r="N39" s="21"/>
      <c r="O39" s="38"/>
      <c r="P39" s="38"/>
      <c r="Q39" s="38"/>
      <c r="R39" s="38"/>
    </row>
    <row r="40" spans="1:18" ht="19.5" customHeight="1">
      <c r="A40" s="873"/>
      <c r="B40" s="871"/>
      <c r="C40" s="871">
        <f>IF(F39="","","VIS")</f>
      </c>
      <c r="D40" s="330"/>
      <c r="E40" s="330"/>
      <c r="F40" s="330"/>
      <c r="G40" s="872">
        <f>IF(F39="","",Input!B78)</f>
      </c>
      <c r="H40" s="874">
        <f>IF(F39="","",$E$22)</f>
      </c>
      <c r="I40" s="22"/>
      <c r="J40" s="21"/>
      <c r="K40" s="21"/>
      <c r="L40" s="21"/>
      <c r="M40" s="21"/>
      <c r="N40" s="21"/>
      <c r="O40" s="38"/>
      <c r="P40" s="38"/>
      <c r="Q40" s="38"/>
      <c r="R40" s="38"/>
    </row>
    <row r="41" spans="1:18" ht="19.5" customHeight="1">
      <c r="A41" s="870">
        <v>7</v>
      </c>
      <c r="B41" s="871">
        <f>IF(F41="","",$B$29)</f>
      </c>
      <c r="C41" s="871">
        <f>IF(F41="","",$C$29)</f>
      </c>
      <c r="D41" s="871">
        <f>IF(F41="","",$D$29)</f>
      </c>
      <c r="E41" s="871"/>
      <c r="F41" s="871">
        <f>IF(Input!C79="","",Input!C79)</f>
      </c>
      <c r="G41" s="872">
        <f>IF(F41="","",$G$29)</f>
      </c>
      <c r="H41" s="874"/>
      <c r="I41" s="22"/>
      <c r="J41" s="21"/>
      <c r="K41" s="21"/>
      <c r="L41" s="21"/>
      <c r="M41" s="21"/>
      <c r="N41" s="21"/>
      <c r="O41" s="38"/>
      <c r="P41" s="38"/>
      <c r="Q41" s="38"/>
      <c r="R41" s="38"/>
    </row>
    <row r="42" spans="1:18" ht="19.5" customHeight="1">
      <c r="A42" s="870"/>
      <c r="B42" s="871"/>
      <c r="C42" s="871">
        <f>IF(F41="","","VIS")</f>
      </c>
      <c r="D42" s="330"/>
      <c r="E42" s="330"/>
      <c r="F42" s="330"/>
      <c r="G42" s="872">
        <f>IF(F41="","",Input!B79)</f>
      </c>
      <c r="H42" s="874">
        <f>IF(F41="","",$E$22)</f>
      </c>
      <c r="I42" s="22"/>
      <c r="J42" s="21"/>
      <c r="K42" s="21"/>
      <c r="L42" s="21"/>
      <c r="M42" s="21"/>
      <c r="N42" s="21"/>
      <c r="O42" s="38"/>
      <c r="P42" s="38"/>
      <c r="Q42" s="38"/>
      <c r="R42" s="38"/>
    </row>
    <row r="43" spans="1:18" ht="19.5" customHeight="1">
      <c r="A43" s="875">
        <v>8</v>
      </c>
      <c r="B43" s="871">
        <f>IF(F43="","",$B$29)</f>
      </c>
      <c r="C43" s="871">
        <f>IF(F43="","",$C$29)</f>
      </c>
      <c r="D43" s="871">
        <f>IF(F43="","",$D$29)</f>
      </c>
      <c r="E43" s="871"/>
      <c r="F43" s="871">
        <f>IF(Input!C80="","",Input!C80)</f>
      </c>
      <c r="G43" s="872">
        <f>IF(F43="","",$G$29)</f>
      </c>
      <c r="H43" s="874"/>
      <c r="I43" s="22"/>
      <c r="J43" s="21"/>
      <c r="K43" s="21"/>
      <c r="L43" s="21"/>
      <c r="M43" s="21"/>
      <c r="N43" s="21"/>
      <c r="O43" s="38"/>
      <c r="P43" s="38"/>
      <c r="Q43" s="38"/>
      <c r="R43" s="38"/>
    </row>
    <row r="44" spans="1:18" ht="19.5" customHeight="1">
      <c r="A44" s="873"/>
      <c r="B44" s="871"/>
      <c r="C44" s="871">
        <f>IF(F43="","","VIS")</f>
      </c>
      <c r="D44" s="330"/>
      <c r="E44" s="330"/>
      <c r="F44" s="330"/>
      <c r="G44" s="872">
        <f>IF(F43="","",Input!B80)</f>
      </c>
      <c r="H44" s="874">
        <f>IF(F43="","",$E$22)</f>
      </c>
      <c r="I44" s="22"/>
      <c r="J44" s="21"/>
      <c r="K44" s="21"/>
      <c r="L44" s="21"/>
      <c r="M44" s="21"/>
      <c r="N44" s="21"/>
      <c r="O44" s="38"/>
      <c r="P44" s="38"/>
      <c r="Q44" s="38"/>
      <c r="R44" s="38"/>
    </row>
    <row r="45" spans="1:18" ht="19.5" customHeight="1">
      <c r="A45" s="22"/>
      <c r="B45" s="22"/>
      <c r="C45" s="22"/>
      <c r="D45" s="22"/>
      <c r="E45" s="22"/>
      <c r="F45" s="22"/>
      <c r="G45" s="22"/>
      <c r="H45" s="22"/>
      <c r="I45" s="22"/>
      <c r="J45" s="21"/>
      <c r="K45" s="21"/>
      <c r="L45" s="21"/>
      <c r="M45" s="21"/>
      <c r="N45" s="21"/>
      <c r="O45" s="38"/>
      <c r="P45" s="38"/>
      <c r="Q45" s="38"/>
      <c r="R45" s="38"/>
    </row>
    <row r="46" spans="1:18" ht="19.5" customHeight="1">
      <c r="A46" s="22"/>
      <c r="B46" s="22"/>
      <c r="C46" s="22"/>
      <c r="D46" s="22"/>
      <c r="E46" s="22"/>
      <c r="F46" s="22"/>
      <c r="G46" s="22"/>
      <c r="H46" s="22"/>
      <c r="I46" s="22"/>
      <c r="J46" s="21"/>
      <c r="K46" s="21"/>
      <c r="L46" s="21"/>
      <c r="M46" s="21"/>
      <c r="N46" s="21"/>
      <c r="O46" s="38"/>
      <c r="P46" s="38"/>
      <c r="Q46" s="38"/>
      <c r="R46" s="38"/>
    </row>
    <row r="47" spans="1:18" ht="19.5" customHeight="1">
      <c r="A47" s="22"/>
      <c r="B47" s="22"/>
      <c r="C47" s="22"/>
      <c r="D47" s="22"/>
      <c r="E47" s="22" t="s">
        <v>576</v>
      </c>
      <c r="F47" s="338"/>
      <c r="G47" s="338"/>
      <c r="H47" s="338"/>
      <c r="I47" s="22"/>
      <c r="J47" s="21"/>
      <c r="K47" s="21"/>
      <c r="L47" s="21"/>
      <c r="M47" s="21"/>
      <c r="N47" s="21"/>
      <c r="O47" s="38"/>
      <c r="P47" s="38"/>
      <c r="Q47" s="38"/>
      <c r="R47" s="38"/>
    </row>
    <row r="48" spans="1:18" ht="19.5" customHeight="1">
      <c r="A48" s="22"/>
      <c r="B48" s="22" t="s">
        <v>649</v>
      </c>
      <c r="C48" s="338"/>
      <c r="D48" s="338"/>
      <c r="E48" s="22"/>
      <c r="F48" s="22"/>
      <c r="G48" s="22"/>
      <c r="H48" s="22"/>
      <c r="I48" s="22"/>
      <c r="J48" s="21"/>
      <c r="K48" s="21"/>
      <c r="L48" s="21"/>
      <c r="M48" s="21"/>
      <c r="N48" s="21"/>
      <c r="O48" s="38"/>
      <c r="P48" s="38"/>
      <c r="Q48" s="38"/>
      <c r="R48" s="38"/>
    </row>
    <row r="49" spans="1:18" ht="19.5" customHeight="1">
      <c r="A49" s="22"/>
      <c r="B49" s="22" t="s">
        <v>650</v>
      </c>
      <c r="C49" s="338"/>
      <c r="D49" s="338"/>
      <c r="E49" s="22"/>
      <c r="F49" s="22"/>
      <c r="G49" s="22"/>
      <c r="H49" s="22"/>
      <c r="I49" s="22"/>
      <c r="J49" s="21"/>
      <c r="K49" s="21"/>
      <c r="L49" s="21"/>
      <c r="M49" s="21"/>
      <c r="N49" s="21"/>
      <c r="O49" s="38"/>
      <c r="P49" s="38"/>
      <c r="Q49" s="38"/>
      <c r="R49" s="38"/>
    </row>
    <row r="50" spans="1:18" ht="19.5" customHeight="1">
      <c r="A50" s="22"/>
      <c r="B50" s="22"/>
      <c r="C50" s="338"/>
      <c r="D50" s="338"/>
      <c r="E50" s="22"/>
      <c r="F50" s="22"/>
      <c r="G50" s="22"/>
      <c r="H50" s="22"/>
      <c r="I50" s="22"/>
      <c r="J50" s="21"/>
      <c r="K50" s="21"/>
      <c r="L50" s="21"/>
      <c r="M50" s="21"/>
      <c r="N50" s="21"/>
      <c r="O50" s="38"/>
      <c r="P50" s="38"/>
      <c r="Q50" s="38"/>
      <c r="R50" s="38"/>
    </row>
    <row r="51" spans="1:18" ht="19.5" customHeight="1">
      <c r="A51" s="22"/>
      <c r="B51" s="22"/>
      <c r="C51" s="338"/>
      <c r="D51" s="338"/>
      <c r="E51" s="22"/>
      <c r="F51" s="22"/>
      <c r="G51" s="22"/>
      <c r="H51" s="22"/>
      <c r="I51" s="22"/>
      <c r="J51" s="21"/>
      <c r="K51" s="21"/>
      <c r="L51" s="21"/>
      <c r="M51" s="21"/>
      <c r="N51" s="21"/>
      <c r="O51" s="38"/>
      <c r="P51" s="38"/>
      <c r="Q51" s="38"/>
      <c r="R51" s="38"/>
    </row>
    <row r="52" spans="1:18" ht="19.5" customHeight="1">
      <c r="A52" s="22"/>
      <c r="B52" s="22"/>
      <c r="C52" s="22"/>
      <c r="D52" s="22"/>
      <c r="E52" s="22"/>
      <c r="F52" s="470" t="s">
        <v>710</v>
      </c>
      <c r="G52" s="876"/>
      <c r="H52" s="876"/>
      <c r="I52" s="22"/>
      <c r="J52" s="21"/>
      <c r="K52" s="21"/>
      <c r="L52" s="21"/>
      <c r="M52" s="21"/>
      <c r="N52" s="21"/>
      <c r="O52" s="38"/>
      <c r="P52" s="38"/>
      <c r="Q52" s="38"/>
      <c r="R52" s="38"/>
    </row>
    <row r="53" spans="1:18" ht="19.5" customHeight="1">
      <c r="A53" s="22"/>
      <c r="B53" s="862" t="s">
        <v>580</v>
      </c>
      <c r="C53" s="863"/>
      <c r="D53" s="864"/>
      <c r="E53" s="22"/>
      <c r="F53" s="470" t="s">
        <v>711</v>
      </c>
      <c r="G53" s="1047">
        <f>IF(Input!E14="","",Input!E14)</f>
      </c>
      <c r="H53" s="1047"/>
      <c r="I53" s="22"/>
      <c r="J53" s="21"/>
      <c r="K53" s="21"/>
      <c r="L53" s="21"/>
      <c r="M53" s="21"/>
      <c r="N53" s="21"/>
      <c r="O53" s="38"/>
      <c r="P53" s="38"/>
      <c r="Q53" s="38"/>
      <c r="R53" s="38"/>
    </row>
    <row r="54" spans="1:18" ht="19.5" customHeight="1">
      <c r="A54" s="22"/>
      <c r="B54" s="22" t="s">
        <v>651</v>
      </c>
      <c r="C54" s="22"/>
      <c r="D54" s="22"/>
      <c r="E54" s="22"/>
      <c r="F54" s="22"/>
      <c r="G54" s="22"/>
      <c r="H54" s="22"/>
      <c r="I54" s="22"/>
      <c r="J54" s="21"/>
      <c r="K54" s="21"/>
      <c r="L54" s="21"/>
      <c r="M54" s="21"/>
      <c r="N54" s="21"/>
      <c r="O54" s="38"/>
      <c r="P54" s="38"/>
      <c r="Q54" s="38"/>
      <c r="R54" s="38"/>
    </row>
    <row r="55" spans="1:18" ht="19.5" customHeight="1">
      <c r="A55" s="22"/>
      <c r="B55" s="22"/>
      <c r="C55" s="22"/>
      <c r="D55" s="22"/>
      <c r="E55" s="22"/>
      <c r="F55" s="22"/>
      <c r="G55" s="22"/>
      <c r="H55" s="22"/>
      <c r="I55" s="22"/>
      <c r="J55" s="21"/>
      <c r="K55" s="21"/>
      <c r="L55" s="21"/>
      <c r="M55" s="21"/>
      <c r="N55" s="21"/>
      <c r="O55" s="38"/>
      <c r="P55" s="38"/>
      <c r="Q55" s="38"/>
      <c r="R55" s="38"/>
    </row>
    <row r="56" spans="1:18" ht="19.5" customHeight="1">
      <c r="A56" s="458"/>
      <c r="B56" s="22"/>
      <c r="C56" s="22"/>
      <c r="D56" s="22"/>
      <c r="E56" s="22"/>
      <c r="F56" s="470" t="s">
        <v>710</v>
      </c>
      <c r="G56" s="876"/>
      <c r="H56" s="876"/>
      <c r="I56" s="22"/>
      <c r="J56" s="21"/>
      <c r="K56" s="21"/>
      <c r="L56" s="21"/>
      <c r="M56" s="21"/>
      <c r="N56" s="21"/>
      <c r="O56" s="38"/>
      <c r="P56" s="38"/>
      <c r="Q56" s="38"/>
      <c r="R56" s="38"/>
    </row>
    <row r="57" spans="1:18" ht="19.5" customHeight="1">
      <c r="A57" s="22"/>
      <c r="B57" s="22"/>
      <c r="C57" s="22"/>
      <c r="D57" s="22"/>
      <c r="E57" s="22"/>
      <c r="F57" s="470" t="s">
        <v>581</v>
      </c>
      <c r="G57" s="1047">
        <f>IF(Input!$D$17="","",(Input!$E$26&amp;" "&amp;"(District "&amp;Input!$E$19&amp;""&amp;")"))</f>
      </c>
      <c r="H57" s="1048"/>
      <c r="I57" s="22"/>
      <c r="J57" s="21"/>
      <c r="K57" s="21"/>
      <c r="L57" s="21"/>
      <c r="M57" s="21"/>
      <c r="N57" s="21"/>
      <c r="O57" s="38"/>
      <c r="P57" s="38"/>
      <c r="Q57" s="38"/>
      <c r="R57" s="38"/>
    </row>
    <row r="58" spans="1:18" ht="19.5" customHeight="1">
      <c r="A58" s="22" t="s">
        <v>1211</v>
      </c>
      <c r="B58" s="22"/>
      <c r="C58" s="22"/>
      <c r="D58" s="22"/>
      <c r="E58" s="22"/>
      <c r="F58" s="22"/>
      <c r="G58" s="22"/>
      <c r="H58" s="22"/>
      <c r="I58" s="22"/>
      <c r="J58" s="21"/>
      <c r="K58" s="21"/>
      <c r="L58" s="21"/>
      <c r="M58" s="21"/>
      <c r="N58" s="21"/>
      <c r="O58" s="38"/>
      <c r="P58" s="38"/>
      <c r="Q58" s="38"/>
      <c r="R58" s="38"/>
    </row>
    <row r="59" spans="1:18" ht="12.75">
      <c r="A59" s="22"/>
      <c r="B59" s="22"/>
      <c r="C59" s="22"/>
      <c r="D59" s="22"/>
      <c r="E59" s="22"/>
      <c r="F59" s="22"/>
      <c r="G59" s="22"/>
      <c r="H59" s="22"/>
      <c r="I59" s="22"/>
      <c r="J59" s="21"/>
      <c r="K59" s="21"/>
      <c r="L59" s="21"/>
      <c r="M59" s="21"/>
      <c r="N59" s="21"/>
      <c r="O59" s="38"/>
      <c r="P59" s="38"/>
      <c r="Q59" s="38"/>
      <c r="R59" s="38"/>
    </row>
    <row r="60" spans="1:18" ht="12.75">
      <c r="A60" s="22"/>
      <c r="B60" s="22"/>
      <c r="C60" s="22"/>
      <c r="D60" s="22"/>
      <c r="E60" s="22"/>
      <c r="F60" s="22"/>
      <c r="G60" s="22"/>
      <c r="H60" s="22"/>
      <c r="I60" s="22"/>
      <c r="J60" s="21"/>
      <c r="K60" s="21"/>
      <c r="L60" s="21"/>
      <c r="M60" s="21"/>
      <c r="N60" s="21"/>
      <c r="O60" s="38"/>
      <c r="P60" s="38"/>
      <c r="Q60" s="38"/>
      <c r="R60" s="38"/>
    </row>
    <row r="61" spans="1:18" ht="12.75">
      <c r="A61" s="22"/>
      <c r="B61" s="22"/>
      <c r="C61" s="22"/>
      <c r="D61" s="22"/>
      <c r="E61" s="22"/>
      <c r="F61" s="22"/>
      <c r="G61" s="22"/>
      <c r="H61" s="22"/>
      <c r="I61" s="22"/>
      <c r="J61" s="21"/>
      <c r="K61" s="21"/>
      <c r="L61" s="21"/>
      <c r="M61" s="21"/>
      <c r="N61" s="21"/>
      <c r="O61" s="38"/>
      <c r="P61" s="38"/>
      <c r="Q61" s="38"/>
      <c r="R61" s="38"/>
    </row>
    <row r="62" spans="1:18" ht="12.75">
      <c r="A62" s="22"/>
      <c r="B62" s="22"/>
      <c r="C62" s="22"/>
      <c r="D62" s="22"/>
      <c r="E62" s="22"/>
      <c r="F62" s="22"/>
      <c r="G62" s="22"/>
      <c r="H62" s="22"/>
      <c r="I62" s="22"/>
      <c r="J62" s="21"/>
      <c r="K62" s="21"/>
      <c r="L62" s="21"/>
      <c r="M62" s="21"/>
      <c r="N62" s="21"/>
      <c r="O62" s="38"/>
      <c r="P62" s="38"/>
      <c r="Q62" s="38"/>
      <c r="R62" s="38"/>
    </row>
    <row r="63" spans="1:18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38"/>
      <c r="P63" s="38"/>
      <c r="Q63" s="38"/>
      <c r="R63" s="38"/>
    </row>
    <row r="64" spans="1:18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38"/>
      <c r="P64" s="38"/>
      <c r="Q64" s="38"/>
      <c r="R64" s="38"/>
    </row>
    <row r="65" spans="1:18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38"/>
      <c r="P65" s="38"/>
      <c r="Q65" s="38"/>
      <c r="R65" s="38"/>
    </row>
    <row r="66" spans="1:18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38"/>
      <c r="P66" s="38"/>
      <c r="Q66" s="38"/>
      <c r="R66" s="38"/>
    </row>
    <row r="67" spans="1:18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38"/>
      <c r="P67" s="38"/>
      <c r="Q67" s="38"/>
      <c r="R67" s="38"/>
    </row>
    <row r="68" spans="1:18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38"/>
      <c r="P68" s="38"/>
      <c r="Q68" s="38"/>
      <c r="R68" s="38"/>
    </row>
    <row r="69" spans="1:18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38"/>
      <c r="P69" s="38"/>
      <c r="Q69" s="38"/>
      <c r="R69" s="38"/>
    </row>
    <row r="70" spans="1:18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38"/>
      <c r="P70" s="38"/>
      <c r="Q70" s="38"/>
      <c r="R70" s="38"/>
    </row>
    <row r="71" spans="1:18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38"/>
      <c r="P71" s="38"/>
      <c r="Q71" s="38"/>
      <c r="R71" s="38"/>
    </row>
    <row r="72" spans="1:18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38"/>
      <c r="P72" s="38"/>
      <c r="Q72" s="38"/>
      <c r="R72" s="38"/>
    </row>
    <row r="73" spans="1:18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38"/>
      <c r="P73" s="38"/>
      <c r="Q73" s="38"/>
      <c r="R73" s="38"/>
    </row>
    <row r="74" spans="1:18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38"/>
      <c r="P74" s="38"/>
      <c r="Q74" s="38"/>
      <c r="R74" s="38"/>
    </row>
    <row r="75" spans="1:14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</row>
    <row r="76" spans="1:14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  <row r="77" spans="1:14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</row>
    <row r="78" spans="1:14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</row>
    <row r="79" spans="1:14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</row>
    <row r="80" spans="1:14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</row>
    <row r="81" spans="1:14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</row>
    <row r="82" spans="1:14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</row>
    <row r="83" spans="1:14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</row>
    <row r="84" spans="1:14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</row>
    <row r="85" spans="1:14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</row>
    <row r="86" spans="1:14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</row>
  </sheetData>
  <sheetProtection sheet="1"/>
  <mergeCells count="5">
    <mergeCell ref="G57:H57"/>
    <mergeCell ref="G53:H53"/>
    <mergeCell ref="B10:H10"/>
    <mergeCell ref="B11:H11"/>
    <mergeCell ref="A1:G1"/>
  </mergeCells>
  <printOptions/>
  <pageMargins left="0.5" right="0.5" top="0.5" bottom="0.5" header="0" footer="0"/>
  <pageSetup fitToHeight="1" fitToWidth="1" horizontalDpi="600" verticalDpi="600" orientation="portrait" scale="7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11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1.421875" style="0" customWidth="1"/>
    <col min="2" max="2" width="9.7109375" style="0" customWidth="1"/>
    <col min="3" max="3" width="15.7109375" style="0" customWidth="1"/>
    <col min="4" max="4" width="10.7109375" style="0" customWidth="1"/>
    <col min="5" max="5" width="25.7109375" style="0" customWidth="1"/>
    <col min="6" max="7" width="10.7109375" style="0" customWidth="1"/>
    <col min="8" max="8" width="12.7109375" style="0" customWidth="1"/>
    <col min="10" max="10" width="30.7109375" style="0" customWidth="1"/>
  </cols>
  <sheetData>
    <row r="1" spans="1:10" ht="12.75">
      <c r="A1" s="1020" t="s">
        <v>834</v>
      </c>
      <c r="B1" s="1020"/>
      <c r="C1" s="1020"/>
      <c r="D1" s="1020"/>
      <c r="E1" s="1020"/>
      <c r="F1" s="1020"/>
      <c r="G1" s="1020"/>
      <c r="H1" s="458"/>
      <c r="I1" s="458"/>
      <c r="J1" s="458"/>
    </row>
    <row r="2" spans="1:10" ht="15.75">
      <c r="A2" s="792" t="s">
        <v>585</v>
      </c>
      <c r="B2" s="458"/>
      <c r="C2" s="458"/>
      <c r="D2" s="458"/>
      <c r="E2" s="458"/>
      <c r="F2" s="458"/>
      <c r="G2" s="458"/>
      <c r="H2" s="458"/>
      <c r="I2" s="458"/>
      <c r="J2" s="458"/>
    </row>
    <row r="3" spans="8:10" ht="12.75">
      <c r="H3" s="458"/>
      <c r="I3" s="458"/>
      <c r="J3" s="458"/>
    </row>
    <row r="4" spans="1:10" ht="12.75">
      <c r="A4" s="320"/>
      <c r="B4" s="877"/>
      <c r="C4" s="510"/>
      <c r="D4" s="458"/>
      <c r="E4" s="458"/>
      <c r="F4" s="458"/>
      <c r="G4" s="458"/>
      <c r="H4" s="458"/>
      <c r="I4" s="458"/>
      <c r="J4" s="458"/>
    </row>
    <row r="5" spans="1:10" ht="12.75">
      <c r="A5" s="844" t="s">
        <v>836</v>
      </c>
      <c r="B5" s="458"/>
      <c r="C5" s="458"/>
      <c r="D5" s="458"/>
      <c r="E5" s="458"/>
      <c r="F5" s="458"/>
      <c r="G5" s="458"/>
      <c r="H5" s="458"/>
      <c r="I5" s="458"/>
      <c r="J5" s="458"/>
    </row>
    <row r="6" spans="1:10" ht="4.5" customHeight="1">
      <c r="A6" s="878"/>
      <c r="B6" s="878"/>
      <c r="C6" s="878"/>
      <c r="D6" s="878"/>
      <c r="E6" s="878"/>
      <c r="F6" s="878"/>
      <c r="G6" s="878"/>
      <c r="H6" s="878"/>
      <c r="I6" s="878"/>
      <c r="J6" s="878"/>
    </row>
    <row r="7" spans="1:10" ht="12.75" customHeight="1">
      <c r="A7" s="61" t="s">
        <v>585</v>
      </c>
      <c r="B7" s="879"/>
      <c r="C7" s="879"/>
      <c r="D7" s="879"/>
      <c r="E7" s="879"/>
      <c r="F7" s="879"/>
      <c r="G7" s="879"/>
      <c r="H7" s="879"/>
      <c r="I7" s="879"/>
      <c r="J7" s="7" t="str">
        <f>Main!J1</f>
        <v>Revised 4/22/16</v>
      </c>
    </row>
    <row r="8" spans="1:10" ht="24.75" customHeight="1">
      <c r="A8" s="1055" t="str">
        <f>IF('Singlet E'!A10="","",'Singlet E'!A10)</f>
        <v>Illinois Department of Transportation</v>
      </c>
      <c r="B8" s="1055"/>
      <c r="C8" s="1055"/>
      <c r="D8" s="1055"/>
      <c r="E8" s="1055"/>
      <c r="F8" s="1055"/>
      <c r="G8" s="1055"/>
      <c r="H8" s="1055"/>
      <c r="I8" s="1055"/>
      <c r="J8" s="1055"/>
    </row>
    <row r="9" spans="1:12" s="3" customFormat="1" ht="24.75" customHeight="1">
      <c r="A9" s="1032" t="str">
        <f>IF('Singlet E'!A11="","",'Singlet E'!A11)</f>
        <v>Bureau of Materials &amp; Physical Research</v>
      </c>
      <c r="B9" s="1032"/>
      <c r="C9" s="1032"/>
      <c r="D9" s="1032"/>
      <c r="E9" s="1032"/>
      <c r="F9" s="1032"/>
      <c r="G9" s="1032"/>
      <c r="H9" s="1032"/>
      <c r="I9" s="1032"/>
      <c r="J9" s="1032"/>
      <c r="K9" s="18"/>
      <c r="L9" s="18"/>
    </row>
    <row r="10" spans="1:12" s="3" customFormat="1" ht="24.75" customHeight="1">
      <c r="A10" s="1032" t="s">
        <v>1206</v>
      </c>
      <c r="B10" s="1032"/>
      <c r="C10" s="1032"/>
      <c r="D10" s="1032"/>
      <c r="E10" s="1032"/>
      <c r="F10" s="1032"/>
      <c r="G10" s="1032"/>
      <c r="H10" s="1032"/>
      <c r="I10" s="1032"/>
      <c r="J10" s="1032"/>
      <c r="K10" s="18"/>
      <c r="L10" s="18"/>
    </row>
    <row r="11" spans="1:12" s="3" customFormat="1" ht="24.75" customHeight="1">
      <c r="A11" s="1056" t="s">
        <v>837</v>
      </c>
      <c r="B11" s="1056"/>
      <c r="C11" s="1056"/>
      <c r="D11" s="1056"/>
      <c r="E11" s="1056"/>
      <c r="F11" s="1056"/>
      <c r="G11" s="1056"/>
      <c r="H11" s="1056"/>
      <c r="I11" s="1056"/>
      <c r="J11" s="1056"/>
      <c r="K11" s="18"/>
      <c r="L11" s="18"/>
    </row>
    <row r="12" spans="1:12" s="3" customFormat="1" ht="24.75" customHeight="1">
      <c r="A12" s="760" t="s">
        <v>568</v>
      </c>
      <c r="B12" s="1051">
        <f>IF(Input!E7="","",Input!E7)</f>
      </c>
      <c r="C12" s="1051"/>
      <c r="D12" s="1051"/>
      <c r="E12" s="1052" t="s">
        <v>557</v>
      </c>
      <c r="F12" s="1053"/>
      <c r="G12" s="1054"/>
      <c r="H12" s="880" t="s">
        <v>558</v>
      </c>
      <c r="I12" s="804" t="s">
        <v>559</v>
      </c>
      <c r="J12" s="896"/>
      <c r="K12" s="18"/>
      <c r="L12" s="18"/>
    </row>
    <row r="13" spans="1:12" s="3" customFormat="1" ht="24.75" customHeight="1">
      <c r="A13" s="754" t="s">
        <v>569</v>
      </c>
      <c r="B13" s="1050">
        <f>IF(Input!E11="","",Input!E11)</f>
      </c>
      <c r="C13" s="1050"/>
      <c r="D13" s="1050"/>
      <c r="E13" s="511"/>
      <c r="F13" s="239" t="s">
        <v>560</v>
      </c>
      <c r="G13" s="881">
        <f>IF(Input!C72="","",Input!C72)</f>
      </c>
      <c r="H13" s="769"/>
      <c r="I13" s="61"/>
      <c r="J13" s="897"/>
      <c r="K13" s="18"/>
      <c r="L13" s="18"/>
    </row>
    <row r="14" spans="1:12" s="3" customFormat="1" ht="24.75" customHeight="1">
      <c r="A14" s="754" t="s">
        <v>981</v>
      </c>
      <c r="B14" s="1050">
        <f>IF(Input!B37="","",Input!B37)</f>
      </c>
      <c r="C14" s="1050"/>
      <c r="D14" s="1050"/>
      <c r="E14" s="888">
        <f>IF(Input!A73="","",Input!A73)</f>
      </c>
      <c r="F14" s="889">
        <f>IF(Input!B73="","",Input!B73)</f>
      </c>
      <c r="G14" s="890">
        <f>IF(Input!C73="","",Input!C73)</f>
      </c>
      <c r="H14" s="894">
        <f>IF(Input!C64="","",Input!C64)</f>
      </c>
      <c r="I14" s="65" t="s">
        <v>561</v>
      </c>
      <c r="J14" s="897">
        <f>IF(Input!B33="","",Input!B33)</f>
      </c>
      <c r="K14" s="18"/>
      <c r="L14" s="18"/>
    </row>
    <row r="15" spans="1:12" s="3" customFormat="1" ht="24.75" customHeight="1">
      <c r="A15" s="754" t="s">
        <v>971</v>
      </c>
      <c r="B15" s="1050">
        <f>IF(Input!B82="","",Input!B82)</f>
      </c>
      <c r="C15" s="1050"/>
      <c r="D15" s="1050"/>
      <c r="E15" s="888">
        <f>IF(Input!A74="","",Input!A74)</f>
      </c>
      <c r="F15" s="889">
        <f>IF(Input!B74="","",Input!B74)</f>
      </c>
      <c r="G15" s="890">
        <f>IF(Input!C74="","",Input!C74)</f>
      </c>
      <c r="H15" s="894">
        <f>IF(Input!C65="","",Input!C65)</f>
      </c>
      <c r="I15" s="65" t="s">
        <v>562</v>
      </c>
      <c r="J15" s="897">
        <f>IF(Input!B31="","",Input!B31)</f>
      </c>
      <c r="K15" s="18"/>
      <c r="L15" s="18"/>
    </row>
    <row r="16" spans="1:12" s="3" customFormat="1" ht="24.75" customHeight="1">
      <c r="A16" s="754" t="s">
        <v>570</v>
      </c>
      <c r="B16" s="1050">
        <f>IF(Input!B83="","",Input!B83)</f>
      </c>
      <c r="C16" s="1050"/>
      <c r="D16" s="1050"/>
      <c r="E16" s="888">
        <f>IF(Input!A75="","",Input!A75)</f>
      </c>
      <c r="F16" s="889">
        <f>IF(Input!B75="","",Input!B75)</f>
      </c>
      <c r="G16" s="890">
        <f>IF(Input!C75="","",Input!C75)</f>
      </c>
      <c r="H16" s="894">
        <f>IF(Input!C66="","",Input!C66)</f>
      </c>
      <c r="I16" s="65" t="s">
        <v>563</v>
      </c>
      <c r="J16" s="897">
        <f>IF(Input!B30="","",Input!B30)</f>
      </c>
      <c r="K16" s="18"/>
      <c r="L16" s="18"/>
    </row>
    <row r="17" spans="1:12" s="3" customFormat="1" ht="24.75" customHeight="1">
      <c r="A17" s="754" t="s">
        <v>573</v>
      </c>
      <c r="B17" s="1050">
        <f>IF(Input!B7="","",Input!B7&amp;""&amp;Input!B8&amp;" "&amp;Input!B9)</f>
      </c>
      <c r="C17" s="1050"/>
      <c r="D17" s="1050"/>
      <c r="E17" s="888">
        <f>IF(Input!A76="","",Input!A76)</f>
      </c>
      <c r="F17" s="889">
        <f>IF(Input!B76="","",Input!B76)</f>
      </c>
      <c r="G17" s="890">
        <f>IF(Input!C76="","",Input!C76)</f>
      </c>
      <c r="H17" s="894">
        <f>IF(Input!C67="","",Input!C67)</f>
      </c>
      <c r="I17" s="65" t="s">
        <v>564</v>
      </c>
      <c r="J17" s="897">
        <f>IF(Input!B35="","",Input!B35)</f>
      </c>
      <c r="K17" s="18"/>
      <c r="L17" s="18"/>
    </row>
    <row r="18" spans="1:12" s="3" customFormat="1" ht="24.75" customHeight="1">
      <c r="A18" s="754" t="s">
        <v>966</v>
      </c>
      <c r="B18" s="1050">
        <f>IF(Input!B12="","",Input!B12)</f>
      </c>
      <c r="C18" s="1050"/>
      <c r="D18" s="1050"/>
      <c r="E18" s="888">
        <f>IF(Input!A77="","",Input!A77)</f>
      </c>
      <c r="F18" s="889">
        <f>IF(Input!B77="","",Input!B77)</f>
      </c>
      <c r="G18" s="890">
        <f>IF(Input!C77="","",Input!C77)</f>
      </c>
      <c r="H18" s="894">
        <f>IF(Input!E64="","",Input!E64)</f>
      </c>
      <c r="I18" s="65" t="s">
        <v>952</v>
      </c>
      <c r="J18" s="897">
        <f>IF(Input!B32="","",Input!B32)</f>
      </c>
      <c r="K18" s="18"/>
      <c r="L18" s="18"/>
    </row>
    <row r="19" spans="1:12" s="3" customFormat="1" ht="24.75" customHeight="1">
      <c r="A19" s="754" t="s">
        <v>571</v>
      </c>
      <c r="B19" s="1050">
        <f>IF(Input!B13="","",Input!B13)</f>
      </c>
      <c r="C19" s="1050"/>
      <c r="D19" s="1050"/>
      <c r="E19" s="888">
        <f>IF(Input!A78="","",Input!A78)</f>
      </c>
      <c r="F19" s="889">
        <f>IF(Input!B78="","",Input!B78)</f>
      </c>
      <c r="G19" s="890">
        <f>IF(Input!C78="","",Input!C78)</f>
      </c>
      <c r="H19" s="894">
        <f>IF(Input!E65="","",Input!E65)</f>
      </c>
      <c r="I19" s="65" t="s">
        <v>565</v>
      </c>
      <c r="J19" s="897">
        <f>IF(Input!B36="","",Input!B36)</f>
      </c>
      <c r="K19" s="18"/>
      <c r="L19" s="18"/>
    </row>
    <row r="20" spans="1:12" s="3" customFormat="1" ht="24.75" customHeight="1">
      <c r="A20" s="754"/>
      <c r="B20" s="1057"/>
      <c r="C20" s="1057"/>
      <c r="D20" s="1057"/>
      <c r="E20" s="888">
        <f>IF(Input!A79="","",Input!A79)</f>
      </c>
      <c r="F20" s="889">
        <f>IF(Input!B79="","",Input!B79)</f>
      </c>
      <c r="G20" s="890">
        <f>IF(Input!C79="","",Input!C79)</f>
      </c>
      <c r="H20" s="894">
        <f>IF(Input!E66="","",Input!E66)</f>
      </c>
      <c r="I20" s="65" t="s">
        <v>566</v>
      </c>
      <c r="J20" s="897">
        <f>IF(Input!B34="","",Input!B34)</f>
      </c>
      <c r="K20" s="18"/>
      <c r="L20" s="18"/>
    </row>
    <row r="21" spans="1:12" s="3" customFormat="1" ht="24.75" customHeight="1">
      <c r="A21" s="882" t="s">
        <v>572</v>
      </c>
      <c r="B21" s="883"/>
      <c r="C21" s="1058"/>
      <c r="D21" s="1059"/>
      <c r="E21" s="891">
        <f>IF(Input!A80="","",Input!A80)</f>
      </c>
      <c r="F21" s="892">
        <f>IF(Input!B80="","",Input!B80)</f>
      </c>
      <c r="G21" s="893">
        <f>IF(Input!C80="","",Input!C80)</f>
      </c>
      <c r="H21" s="895">
        <f>IF(Input!E67="","",Input!E67)</f>
      </c>
      <c r="I21" s="721"/>
      <c r="J21" s="884"/>
      <c r="K21" s="21"/>
      <c r="L21" s="18"/>
    </row>
    <row r="22" spans="1:12" s="3" customFormat="1" ht="24.75" customHeight="1">
      <c r="A22" s="885" t="s">
        <v>567</v>
      </c>
      <c r="B22" s="20">
        <f>IF(Input!B10="","",Input!B10)</f>
      </c>
      <c r="C22" s="20">
        <f>IF(B22="","",Input!E5)</f>
      </c>
      <c r="D22" s="20"/>
      <c r="E22" s="706" t="s">
        <v>970</v>
      </c>
      <c r="F22" s="343">
        <f>SUM(F14:F21)</f>
        <v>0</v>
      </c>
      <c r="G22" s="343">
        <f>SUM(G14:G21)</f>
        <v>0</v>
      </c>
      <c r="H22" s="61" t="s">
        <v>137</v>
      </c>
      <c r="I22" s="61"/>
      <c r="J22" s="61"/>
      <c r="K22" s="21"/>
      <c r="L22" s="18"/>
    </row>
    <row r="23" spans="1:12" s="3" customFormat="1" ht="24.7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21"/>
      <c r="L23" s="18"/>
    </row>
    <row r="24" spans="1:12" s="3" customFormat="1" ht="24.75" customHeight="1">
      <c r="A24" s="61"/>
      <c r="B24" s="61"/>
      <c r="C24" s="61"/>
      <c r="D24" s="61"/>
      <c r="E24" s="74" t="s">
        <v>709</v>
      </c>
      <c r="F24" s="61"/>
      <c r="G24" s="61"/>
      <c r="H24" s="61"/>
      <c r="I24" s="61"/>
      <c r="J24" s="61"/>
      <c r="K24" s="18"/>
      <c r="L24" s="18"/>
    </row>
    <row r="25" spans="1:12" s="3" customFormat="1" ht="24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18"/>
      <c r="L25" s="18"/>
    </row>
    <row r="26" spans="1:12" s="3" customFormat="1" ht="24.75" customHeight="1">
      <c r="A26" s="61"/>
      <c r="B26" s="61" t="s">
        <v>760</v>
      </c>
      <c r="C26" s="61"/>
      <c r="D26" s="61"/>
      <c r="E26" s="61"/>
      <c r="F26" s="61"/>
      <c r="G26" s="61"/>
      <c r="H26" s="61"/>
      <c r="I26" s="61"/>
      <c r="J26" s="61"/>
      <c r="K26" s="18"/>
      <c r="L26" s="18"/>
    </row>
    <row r="27" spans="1:12" s="3" customFormat="1" ht="24.7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18"/>
      <c r="L27" s="18"/>
    </row>
    <row r="28" spans="1:12" s="3" customFormat="1" ht="24.7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18"/>
      <c r="L28" s="18"/>
    </row>
    <row r="29" spans="1:12" s="3" customFormat="1" ht="24.75" customHeight="1">
      <c r="A29" s="886">
        <f>IF(A31="MAIN01","NOTE: Enter file names for each Daily Bed Pour.","")</f>
      </c>
      <c r="B29" s="61"/>
      <c r="C29" s="61"/>
      <c r="D29" s="61"/>
      <c r="E29" s="61"/>
      <c r="F29" s="61"/>
      <c r="G29" s="61"/>
      <c r="H29" s="61"/>
      <c r="I29" s="61"/>
      <c r="J29" s="61"/>
      <c r="K29" s="18"/>
      <c r="L29" s="18"/>
    </row>
    <row r="30" spans="1:12" s="3" customFormat="1" ht="24.75" customHeight="1">
      <c r="A30" s="61" t="s">
        <v>574</v>
      </c>
      <c r="B30" s="61"/>
      <c r="C30" s="61"/>
      <c r="D30" s="61"/>
      <c r="E30" s="61"/>
      <c r="F30" s="61" t="s">
        <v>575</v>
      </c>
      <c r="G30" s="61"/>
      <c r="H30" s="61"/>
      <c r="I30" s="61"/>
      <c r="J30" s="61"/>
      <c r="K30" s="18"/>
      <c r="L30" s="18"/>
    </row>
    <row r="31" spans="1:12" s="3" customFormat="1" ht="24.75" customHeight="1">
      <c r="A31" s="62"/>
      <c r="B31" s="62"/>
      <c r="C31" s="62"/>
      <c r="D31" s="62"/>
      <c r="E31" s="61"/>
      <c r="F31" s="62"/>
      <c r="G31" s="62"/>
      <c r="H31" s="62"/>
      <c r="I31" s="62"/>
      <c r="J31" s="61"/>
      <c r="K31" s="18"/>
      <c r="L31" s="18"/>
    </row>
    <row r="32" spans="1:12" s="3" customFormat="1" ht="24.75" customHeight="1">
      <c r="A32" s="62"/>
      <c r="B32" s="62"/>
      <c r="C32" s="62"/>
      <c r="D32" s="62"/>
      <c r="E32" s="61"/>
      <c r="F32" s="62"/>
      <c r="G32" s="62"/>
      <c r="H32" s="62"/>
      <c r="I32" s="62"/>
      <c r="J32" s="61"/>
      <c r="K32" s="18"/>
      <c r="L32" s="18"/>
    </row>
    <row r="33" spans="1:12" s="3" customFormat="1" ht="24.75" customHeight="1">
      <c r="A33" s="62"/>
      <c r="B33" s="62"/>
      <c r="C33" s="62"/>
      <c r="D33" s="62"/>
      <c r="E33" s="61"/>
      <c r="F33" s="62"/>
      <c r="G33" s="62"/>
      <c r="H33" s="62"/>
      <c r="I33" s="62"/>
      <c r="J33" s="61"/>
      <c r="K33" s="18"/>
      <c r="L33" s="18"/>
    </row>
    <row r="34" spans="1:12" s="3" customFormat="1" ht="24.75" customHeight="1">
      <c r="A34" s="62"/>
      <c r="B34" s="62"/>
      <c r="C34" s="62"/>
      <c r="D34" s="62"/>
      <c r="E34" s="61"/>
      <c r="F34" s="62"/>
      <c r="G34" s="62"/>
      <c r="H34" s="62"/>
      <c r="I34" s="62"/>
      <c r="J34" s="61"/>
      <c r="K34" s="18"/>
      <c r="L34" s="18"/>
    </row>
    <row r="35" spans="1:12" s="3" customFormat="1" ht="24.75" customHeight="1">
      <c r="A35" s="62"/>
      <c r="B35" s="62"/>
      <c r="C35" s="62"/>
      <c r="D35" s="62"/>
      <c r="E35" s="61"/>
      <c r="F35" s="62"/>
      <c r="G35" s="62"/>
      <c r="H35" s="62"/>
      <c r="I35" s="62"/>
      <c r="J35" s="61"/>
      <c r="K35" s="18"/>
      <c r="L35" s="18"/>
    </row>
    <row r="36" spans="1:12" s="3" customFormat="1" ht="24.75" customHeight="1">
      <c r="A36" s="62"/>
      <c r="B36" s="62"/>
      <c r="C36" s="62"/>
      <c r="D36" s="62"/>
      <c r="E36" s="61"/>
      <c r="F36" s="62"/>
      <c r="G36" s="62"/>
      <c r="H36" s="62"/>
      <c r="I36" s="62"/>
      <c r="J36" s="61"/>
      <c r="K36" s="18"/>
      <c r="L36" s="18"/>
    </row>
    <row r="37" spans="1:12" s="3" customFormat="1" ht="24.75" customHeight="1">
      <c r="A37" s="62"/>
      <c r="B37" s="62"/>
      <c r="C37" s="62"/>
      <c r="D37" s="62"/>
      <c r="E37" s="61"/>
      <c r="F37" s="62"/>
      <c r="G37" s="62"/>
      <c r="H37" s="62"/>
      <c r="I37" s="62"/>
      <c r="J37" s="61"/>
      <c r="K37" s="18"/>
      <c r="L37" s="18"/>
    </row>
    <row r="38" spans="1:12" s="3" customFormat="1" ht="24.75" customHeight="1">
      <c r="A38" s="62"/>
      <c r="B38" s="62"/>
      <c r="C38" s="62"/>
      <c r="D38" s="62"/>
      <c r="E38" s="61"/>
      <c r="F38" s="62"/>
      <c r="G38" s="62"/>
      <c r="H38" s="62"/>
      <c r="I38" s="62"/>
      <c r="J38" s="61"/>
      <c r="K38" s="18"/>
      <c r="L38" s="18"/>
    </row>
    <row r="39" spans="1:12" s="3" customFormat="1" ht="24.75" customHeight="1">
      <c r="A39" s="62"/>
      <c r="B39" s="62"/>
      <c r="C39" s="62"/>
      <c r="D39" s="62"/>
      <c r="E39" s="61"/>
      <c r="F39" s="62"/>
      <c r="G39" s="62"/>
      <c r="H39" s="62"/>
      <c r="I39" s="62"/>
      <c r="J39" s="61"/>
      <c r="K39" s="18"/>
      <c r="L39" s="18"/>
    </row>
    <row r="40" spans="1:12" s="3" customFormat="1" ht="24.75" customHeight="1">
      <c r="A40" s="887" t="s">
        <v>576</v>
      </c>
      <c r="B40" s="331"/>
      <c r="C40" s="331"/>
      <c r="D40" s="331"/>
      <c r="E40" s="331"/>
      <c r="F40" s="331"/>
      <c r="G40" s="331"/>
      <c r="H40" s="331"/>
      <c r="I40" s="331"/>
      <c r="J40" s="331"/>
      <c r="K40" s="18"/>
      <c r="L40" s="18"/>
    </row>
    <row r="41" spans="1:12" s="3" customFormat="1" ht="24.75" customHeight="1">
      <c r="A41" s="331"/>
      <c r="B41" s="331" t="s">
        <v>137</v>
      </c>
      <c r="C41" s="331"/>
      <c r="D41" s="331"/>
      <c r="E41" s="331"/>
      <c r="F41" s="331"/>
      <c r="G41" s="331"/>
      <c r="H41" s="331"/>
      <c r="I41" s="331"/>
      <c r="J41" s="331"/>
      <c r="K41" s="18"/>
      <c r="L41" s="18"/>
    </row>
    <row r="42" spans="1:12" s="3" customFormat="1" ht="24.75" customHeight="1">
      <c r="A42" s="331"/>
      <c r="B42" s="331" t="s">
        <v>137</v>
      </c>
      <c r="C42" s="331"/>
      <c r="D42" s="331" t="s">
        <v>137</v>
      </c>
      <c r="E42" s="331"/>
      <c r="F42" s="331"/>
      <c r="G42" s="331"/>
      <c r="H42" s="331"/>
      <c r="I42" s="331"/>
      <c r="J42" s="331"/>
      <c r="K42" s="18"/>
      <c r="L42" s="18"/>
    </row>
    <row r="43" spans="1:12" s="3" customFormat="1" ht="24.75" customHeight="1">
      <c r="A43" s="61"/>
      <c r="B43" s="61" t="s">
        <v>137</v>
      </c>
      <c r="C43" s="61"/>
      <c r="D43" s="61"/>
      <c r="E43" s="61"/>
      <c r="F43" s="61"/>
      <c r="G43" s="61"/>
      <c r="H43" s="61"/>
      <c r="I43" s="61"/>
      <c r="J43" s="61"/>
      <c r="K43" s="18"/>
      <c r="L43" s="18"/>
    </row>
    <row r="44" spans="1:12" s="3" customFormat="1" ht="24.75" customHeight="1">
      <c r="A44" s="61" t="s">
        <v>577</v>
      </c>
      <c r="B44" s="61"/>
      <c r="C44" s="61"/>
      <c r="D44" s="61"/>
      <c r="E44" s="61"/>
      <c r="F44" s="61"/>
      <c r="G44" s="61"/>
      <c r="H44" s="61"/>
      <c r="I44" s="61"/>
      <c r="J44" s="61"/>
      <c r="K44" s="18"/>
      <c r="L44" s="18"/>
    </row>
    <row r="45" spans="1:12" s="3" customFormat="1" ht="24.75" customHeight="1">
      <c r="A45" s="61" t="s">
        <v>578</v>
      </c>
      <c r="B45" s="61"/>
      <c r="C45" s="61"/>
      <c r="D45" s="61"/>
      <c r="E45" s="61"/>
      <c r="F45" s="61"/>
      <c r="G45" s="61"/>
      <c r="H45" s="61"/>
      <c r="I45" s="61"/>
      <c r="J45" s="61"/>
      <c r="K45" s="18"/>
      <c r="L45" s="18"/>
    </row>
    <row r="46" spans="1:12" s="3" customFormat="1" ht="24.7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18"/>
      <c r="L46" s="18"/>
    </row>
    <row r="47" spans="1:12" s="3" customFormat="1" ht="24.75" customHeight="1">
      <c r="A47" s="61"/>
      <c r="B47" s="61"/>
      <c r="C47" s="61"/>
      <c r="D47" s="61"/>
      <c r="E47" s="61"/>
      <c r="F47" s="706" t="s">
        <v>710</v>
      </c>
      <c r="G47" s="898"/>
      <c r="H47" s="898"/>
      <c r="I47" s="898"/>
      <c r="J47" s="61"/>
      <c r="K47" s="18"/>
      <c r="L47" s="18"/>
    </row>
    <row r="48" spans="1:12" s="3" customFormat="1" ht="24.75" customHeight="1">
      <c r="A48" s="61"/>
      <c r="B48" s="61"/>
      <c r="C48" s="61"/>
      <c r="D48" s="61"/>
      <c r="E48" s="61"/>
      <c r="F48" s="887" t="s">
        <v>711</v>
      </c>
      <c r="G48" s="61"/>
      <c r="H48" s="61">
        <f>IF(Input!E14="","",Input!E14)</f>
      </c>
      <c r="I48" s="61"/>
      <c r="J48" s="61"/>
      <c r="K48" s="18"/>
      <c r="L48" s="18"/>
    </row>
    <row r="49" spans="1:12" s="3" customFormat="1" ht="24.75" customHeight="1">
      <c r="A49" s="61" t="s">
        <v>579</v>
      </c>
      <c r="B49" s="788"/>
      <c r="C49" s="788"/>
      <c r="D49" s="61"/>
      <c r="E49" s="61"/>
      <c r="F49" s="61"/>
      <c r="G49" s="61"/>
      <c r="H49" s="61"/>
      <c r="I49" s="61"/>
      <c r="J49" s="61"/>
      <c r="K49" s="18"/>
      <c r="L49" s="18"/>
    </row>
    <row r="50" spans="1:12" s="3" customFormat="1" ht="24.75" customHeight="1">
      <c r="A50" s="61"/>
      <c r="B50" s="788"/>
      <c r="C50" s="788"/>
      <c r="D50" s="61"/>
      <c r="E50" s="61"/>
      <c r="F50" s="61"/>
      <c r="G50" s="61"/>
      <c r="H50" s="61"/>
      <c r="I50" s="61"/>
      <c r="J50" s="61"/>
      <c r="K50" s="18"/>
      <c r="L50" s="18"/>
    </row>
    <row r="51" spans="1:12" s="3" customFormat="1" ht="24.75" customHeight="1">
      <c r="A51" s="61"/>
      <c r="B51" s="788"/>
      <c r="C51" s="788"/>
      <c r="D51" s="468"/>
      <c r="E51" s="707" t="s">
        <v>580</v>
      </c>
      <c r="F51" s="708"/>
      <c r="G51" s="708"/>
      <c r="H51" s="709"/>
      <c r="I51" s="61"/>
      <c r="J51" s="61"/>
      <c r="K51" s="18"/>
      <c r="L51" s="18"/>
    </row>
    <row r="52" spans="1:12" s="3" customFormat="1" ht="24.7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18"/>
      <c r="L52" s="18"/>
    </row>
    <row r="53" spans="1:12" s="3" customFormat="1" ht="24.75" customHeight="1">
      <c r="A53" s="468"/>
      <c r="B53" s="61"/>
      <c r="C53" s="61"/>
      <c r="D53" s="61"/>
      <c r="E53" s="61"/>
      <c r="F53" s="706" t="s">
        <v>710</v>
      </c>
      <c r="G53" s="898"/>
      <c r="H53" s="898"/>
      <c r="I53" s="898"/>
      <c r="J53" s="61"/>
      <c r="K53" s="18"/>
      <c r="L53" s="18"/>
    </row>
    <row r="54" spans="1:12" s="3" customFormat="1" ht="24.75" customHeight="1">
      <c r="A54" s="61"/>
      <c r="B54" s="61"/>
      <c r="C54" s="61"/>
      <c r="D54" s="61"/>
      <c r="E54" s="61"/>
      <c r="F54" s="887" t="s">
        <v>581</v>
      </c>
      <c r="G54" s="61"/>
      <c r="H54" s="1047">
        <f>IF(Input!$D$17="","",(Input!$E$26&amp;" "&amp;"(District "&amp;Input!$E$19&amp;""&amp;")"))</f>
      </c>
      <c r="I54" s="1048"/>
      <c r="J54" s="61"/>
      <c r="K54" s="18"/>
      <c r="L54" s="18"/>
    </row>
    <row r="55" spans="1:12" s="3" customFormat="1" ht="11.25">
      <c r="A55" s="21" t="s">
        <v>1212</v>
      </c>
      <c r="B55" s="21"/>
      <c r="C55" s="21"/>
      <c r="D55" s="21"/>
      <c r="E55" s="21"/>
      <c r="F55" s="21"/>
      <c r="G55" s="21"/>
      <c r="H55" s="21"/>
      <c r="I55" s="21"/>
      <c r="J55" s="21"/>
      <c r="K55" s="18"/>
      <c r="L55" s="18"/>
    </row>
    <row r="56" spans="1:12" s="3" customFormat="1" ht="11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18"/>
      <c r="L56" s="18"/>
    </row>
    <row r="57" spans="1:12" s="3" customFormat="1" ht="11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18"/>
      <c r="L57" s="18"/>
    </row>
    <row r="58" spans="1:12" s="3" customFormat="1" ht="11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18"/>
      <c r="L58" s="18"/>
    </row>
    <row r="59" spans="1:12" s="3" customFormat="1" ht="11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18"/>
      <c r="L59" s="18"/>
    </row>
    <row r="60" spans="1:12" s="3" customFormat="1" ht="11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18"/>
      <c r="L60" s="18"/>
    </row>
    <row r="61" spans="1:12" s="3" customFormat="1" ht="11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18"/>
      <c r="L61" s="18"/>
    </row>
    <row r="62" spans="1:12" s="3" customFormat="1" ht="11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18"/>
      <c r="L62" s="18"/>
    </row>
    <row r="63" spans="1:12" s="3" customFormat="1" ht="11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18"/>
      <c r="L63" s="18"/>
    </row>
    <row r="64" spans="1:12" s="3" customFormat="1" ht="11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18"/>
      <c r="L64" s="18"/>
    </row>
    <row r="65" spans="1:12" s="3" customFormat="1" ht="11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18"/>
      <c r="L65" s="18"/>
    </row>
    <row r="66" spans="1:12" s="3" customFormat="1" ht="11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18"/>
      <c r="L66" s="18"/>
    </row>
    <row r="67" spans="1:12" s="3" customFormat="1" ht="11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18"/>
      <c r="L67" s="18"/>
    </row>
    <row r="68" spans="1:12" s="3" customFormat="1" ht="11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18"/>
      <c r="L68" s="18"/>
    </row>
    <row r="69" spans="1:12" s="3" customFormat="1" ht="11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18"/>
      <c r="L69" s="18"/>
    </row>
    <row r="70" spans="1:12" s="3" customFormat="1" ht="11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18"/>
      <c r="L70" s="18"/>
    </row>
    <row r="71" spans="1:12" s="3" customFormat="1" ht="11.25">
      <c r="A71" s="34"/>
      <c r="B71" s="24"/>
      <c r="C71" s="24"/>
      <c r="D71" s="24"/>
      <c r="E71" s="34"/>
      <c r="F71" s="24"/>
      <c r="G71" s="24"/>
      <c r="H71" s="24"/>
      <c r="I71" s="24"/>
      <c r="J71" s="24"/>
      <c r="K71" s="18"/>
      <c r="L71" s="18"/>
    </row>
    <row r="72" spans="1:12" s="3" customFormat="1" ht="11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18"/>
      <c r="L72" s="18"/>
    </row>
    <row r="73" spans="1:12" s="3" customFormat="1" ht="11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18"/>
      <c r="L73" s="18"/>
    </row>
    <row r="74" spans="1:12" s="3" customFormat="1" ht="11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18"/>
      <c r="L74" s="18"/>
    </row>
    <row r="75" spans="1:12" s="3" customFormat="1" ht="11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18"/>
      <c r="L75" s="18"/>
    </row>
    <row r="76" spans="1:12" s="3" customFormat="1" ht="11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18"/>
      <c r="L76" s="18"/>
    </row>
    <row r="77" spans="1:12" s="3" customFormat="1" ht="11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18"/>
      <c r="L77" s="18"/>
    </row>
    <row r="78" spans="1:12" s="3" customFormat="1" ht="11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18"/>
      <c r="L78" s="18"/>
    </row>
    <row r="79" spans="1:12" s="3" customFormat="1" ht="11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18"/>
      <c r="L79" s="18"/>
    </row>
    <row r="80" spans="1:12" s="3" customFormat="1" ht="11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18"/>
      <c r="L80" s="18"/>
    </row>
    <row r="81" spans="1:12" s="3" customFormat="1" ht="11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18"/>
      <c r="L81" s="18"/>
    </row>
    <row r="82" spans="1:12" s="3" customFormat="1" ht="11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18"/>
      <c r="L82" s="18"/>
    </row>
    <row r="83" spans="1:12" s="3" customFormat="1" ht="11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18"/>
      <c r="L83" s="18"/>
    </row>
    <row r="84" spans="1:12" s="3" customFormat="1" ht="11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18"/>
      <c r="L84" s="18"/>
    </row>
    <row r="85" spans="1:12" s="3" customFormat="1" ht="11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18"/>
      <c r="L85" s="18"/>
    </row>
    <row r="86" spans="11:12" s="3" customFormat="1" ht="11.25">
      <c r="K86" s="18"/>
      <c r="L86" s="18"/>
    </row>
    <row r="87" spans="11:12" s="3" customFormat="1" ht="11.25">
      <c r="K87" s="18"/>
      <c r="L87" s="18"/>
    </row>
    <row r="88" spans="11:12" s="3" customFormat="1" ht="11.25">
      <c r="K88" s="18"/>
      <c r="L88" s="18"/>
    </row>
    <row r="89" spans="11:12" s="3" customFormat="1" ht="11.25">
      <c r="K89" s="18"/>
      <c r="L89" s="18"/>
    </row>
    <row r="90" spans="11:12" s="3" customFormat="1" ht="11.25">
      <c r="K90" s="18"/>
      <c r="L90" s="18"/>
    </row>
    <row r="91" spans="11:12" s="3" customFormat="1" ht="11.25">
      <c r="K91" s="18"/>
      <c r="L91" s="18"/>
    </row>
    <row r="92" spans="11:12" s="3" customFormat="1" ht="11.25">
      <c r="K92" s="18"/>
      <c r="L92" s="18"/>
    </row>
    <row r="93" spans="11:12" s="3" customFormat="1" ht="11.25">
      <c r="K93" s="18"/>
      <c r="L93" s="18"/>
    </row>
    <row r="94" spans="11:12" s="3" customFormat="1" ht="11.25">
      <c r="K94" s="18"/>
      <c r="L94" s="18"/>
    </row>
    <row r="95" spans="11:12" s="3" customFormat="1" ht="11.25">
      <c r="K95" s="18"/>
      <c r="L95" s="18"/>
    </row>
    <row r="96" spans="11:12" s="3" customFormat="1" ht="11.25">
      <c r="K96" s="18"/>
      <c r="L96" s="18"/>
    </row>
    <row r="97" spans="11:12" s="3" customFormat="1" ht="11.25">
      <c r="K97" s="18"/>
      <c r="L97" s="18"/>
    </row>
    <row r="98" spans="11:12" s="3" customFormat="1" ht="11.25">
      <c r="K98" s="18"/>
      <c r="L98" s="18"/>
    </row>
    <row r="99" spans="1:14" s="3" customFormat="1" ht="11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30"/>
      <c r="L99" s="30"/>
      <c r="M99" s="54"/>
      <c r="N99" s="54"/>
    </row>
    <row r="100" spans="1:14" s="3" customFormat="1" ht="12.75">
      <c r="A100" s="54"/>
      <c r="B100" s="54"/>
      <c r="C100" s="54"/>
      <c r="D100" s="332"/>
      <c r="E100" s="54"/>
      <c r="F100" s="54"/>
      <c r="G100" s="332"/>
      <c r="H100" s="54"/>
      <c r="I100" s="54"/>
      <c r="J100" s="333"/>
      <c r="K100" s="30"/>
      <c r="L100" s="30"/>
      <c r="M100" s="54"/>
      <c r="N100" s="54"/>
    </row>
    <row r="101" spans="1:14" s="3" customFormat="1" ht="12.75">
      <c r="A101" s="54"/>
      <c r="B101" s="54"/>
      <c r="C101" s="54"/>
      <c r="D101" s="332"/>
      <c r="E101" s="54"/>
      <c r="F101" s="54"/>
      <c r="G101" s="332"/>
      <c r="H101" s="54"/>
      <c r="I101" s="54"/>
      <c r="J101" s="333"/>
      <c r="K101" s="30"/>
      <c r="L101" s="30"/>
      <c r="M101" s="54"/>
      <c r="N101" s="54"/>
    </row>
    <row r="102" spans="1:14" s="3" customFormat="1" ht="12.75">
      <c r="A102" s="54"/>
      <c r="B102" s="54"/>
      <c r="C102" s="54"/>
      <c r="D102" s="332"/>
      <c r="E102" s="54"/>
      <c r="F102" s="54"/>
      <c r="G102" s="332"/>
      <c r="H102" s="54"/>
      <c r="I102" s="54"/>
      <c r="J102" s="333"/>
      <c r="K102" s="30"/>
      <c r="L102" s="30"/>
      <c r="M102" s="54"/>
      <c r="N102" s="54"/>
    </row>
    <row r="103" spans="1:14" s="3" customFormat="1" ht="12.75">
      <c r="A103" s="54"/>
      <c r="B103" s="333"/>
      <c r="C103" s="54"/>
      <c r="D103" s="332"/>
      <c r="E103" s="54"/>
      <c r="F103" s="54"/>
      <c r="G103" s="332"/>
      <c r="H103" s="54"/>
      <c r="I103" s="54"/>
      <c r="J103" s="333"/>
      <c r="K103" s="54"/>
      <c r="L103" s="54"/>
      <c r="M103" s="54"/>
      <c r="N103" s="54"/>
    </row>
    <row r="104" spans="1:14" s="3" customFormat="1" ht="12.75">
      <c r="A104" s="54"/>
      <c r="B104" s="333"/>
      <c r="C104" s="54"/>
      <c r="D104" s="332"/>
      <c r="E104" s="54"/>
      <c r="F104" s="54"/>
      <c r="G104" s="332"/>
      <c r="H104" s="54"/>
      <c r="I104" s="54"/>
      <c r="J104" s="333"/>
      <c r="K104" s="54"/>
      <c r="L104" s="54"/>
      <c r="M104" s="54"/>
      <c r="N104" s="54"/>
    </row>
    <row r="105" spans="1:14" s="3" customFormat="1" ht="12.75">
      <c r="A105" s="54"/>
      <c r="B105" s="54"/>
      <c r="C105" s="54"/>
      <c r="D105" s="332"/>
      <c r="E105" s="54"/>
      <c r="F105" s="54"/>
      <c r="G105" s="332"/>
      <c r="H105" s="54"/>
      <c r="I105" s="54"/>
      <c r="J105" s="333"/>
      <c r="K105" s="54"/>
      <c r="L105" s="54"/>
      <c r="M105" s="54"/>
      <c r="N105" s="54"/>
    </row>
    <row r="106" spans="1:14" s="3" customFormat="1" ht="12.75">
      <c r="A106" s="54"/>
      <c r="B106" s="54"/>
      <c r="C106" s="54"/>
      <c r="D106" s="332"/>
      <c r="E106" s="54"/>
      <c r="F106" s="54"/>
      <c r="G106" s="332"/>
      <c r="H106" s="54"/>
      <c r="I106" s="54"/>
      <c r="J106" s="333"/>
      <c r="K106" s="54"/>
      <c r="L106" s="54"/>
      <c r="M106" s="54"/>
      <c r="N106" s="54"/>
    </row>
    <row r="107" spans="1:14" s="3" customFormat="1" ht="12.75">
      <c r="A107" s="54"/>
      <c r="B107" s="54"/>
      <c r="C107" s="54"/>
      <c r="D107" s="332"/>
      <c r="E107" s="54"/>
      <c r="F107" s="54"/>
      <c r="G107" s="332"/>
      <c r="H107" s="54"/>
      <c r="I107" s="54"/>
      <c r="J107" s="333"/>
      <c r="K107" s="54"/>
      <c r="L107" s="54"/>
      <c r="M107" s="54"/>
      <c r="N107" s="54"/>
    </row>
    <row r="108" spans="1:14" s="3" customFormat="1" ht="12.75">
      <c r="A108" s="54"/>
      <c r="B108" s="54"/>
      <c r="C108" s="54"/>
      <c r="D108" s="332"/>
      <c r="E108" s="54"/>
      <c r="F108" s="54"/>
      <c r="G108" s="332"/>
      <c r="H108" s="54"/>
      <c r="I108" s="54"/>
      <c r="J108" s="333"/>
      <c r="K108" s="54"/>
      <c r="L108" s="54"/>
      <c r="M108" s="54"/>
      <c r="N108" s="54"/>
    </row>
    <row r="109" spans="1:14" s="3" customFormat="1" ht="12.75">
      <c r="A109" s="54"/>
      <c r="B109" s="54"/>
      <c r="C109" s="54"/>
      <c r="D109" s="332"/>
      <c r="E109" s="54"/>
      <c r="F109" s="54"/>
      <c r="G109" s="332"/>
      <c r="H109" s="54"/>
      <c r="I109" s="54"/>
      <c r="J109" s="333"/>
      <c r="K109" s="54"/>
      <c r="L109" s="54"/>
      <c r="M109" s="54"/>
      <c r="N109" s="54"/>
    </row>
    <row r="110" spans="1:14" s="3" customFormat="1" ht="12.75">
      <c r="A110" s="54"/>
      <c r="B110" s="54"/>
      <c r="C110" s="54"/>
      <c r="D110" s="332"/>
      <c r="E110" s="54"/>
      <c r="F110" s="54"/>
      <c r="G110" s="332"/>
      <c r="H110" s="54"/>
      <c r="I110" s="54"/>
      <c r="J110" s="333"/>
      <c r="K110" s="54"/>
      <c r="L110" s="54"/>
      <c r="M110" s="54"/>
      <c r="N110" s="54"/>
    </row>
    <row r="111" spans="1:14" s="3" customFormat="1" ht="12.75">
      <c r="A111" s="54"/>
      <c r="B111" s="54"/>
      <c r="C111" s="54"/>
      <c r="D111" s="332"/>
      <c r="E111" s="54"/>
      <c r="F111" s="54"/>
      <c r="G111" s="332"/>
      <c r="H111" s="54"/>
      <c r="I111" s="54"/>
      <c r="J111" s="333"/>
      <c r="K111" s="54"/>
      <c r="L111" s="54"/>
      <c r="M111" s="54"/>
      <c r="N111" s="54"/>
    </row>
    <row r="112" spans="1:14" s="3" customFormat="1" ht="12.75">
      <c r="A112" s="54"/>
      <c r="B112" s="54"/>
      <c r="C112" s="54"/>
      <c r="D112" s="332"/>
      <c r="E112" s="54"/>
      <c r="F112" s="54"/>
      <c r="G112" s="332"/>
      <c r="H112" s="54"/>
      <c r="I112" s="54"/>
      <c r="J112" s="333"/>
      <c r="K112" s="54"/>
      <c r="L112" s="54"/>
      <c r="M112" s="54"/>
      <c r="N112" s="54"/>
    </row>
    <row r="113" spans="1:14" s="3" customFormat="1" ht="11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</row>
    <row r="114" spans="1:14" s="3" customFormat="1" ht="11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</row>
    <row r="115" spans="1:14" s="3" customFormat="1" ht="11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</row>
    <row r="116" spans="1:14" s="3" customFormat="1" ht="11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</row>
    <row r="117" spans="1:14" s="3" customFormat="1" ht="11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</row>
    <row r="118" spans="1:14" s="3" customFormat="1" ht="11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</row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  <row r="177" s="3" customFormat="1" ht="11.25"/>
    <row r="178" s="3" customFormat="1" ht="11.25"/>
    <row r="179" s="3" customFormat="1" ht="11.25"/>
    <row r="180" s="3" customFormat="1" ht="11.25"/>
    <row r="181" s="3" customFormat="1" ht="11.25"/>
    <row r="182" s="3" customFormat="1" ht="11.25"/>
    <row r="183" s="3" customFormat="1" ht="11.25"/>
    <row r="184" s="3" customFormat="1" ht="11.25"/>
    <row r="185" s="3" customFormat="1" ht="11.25"/>
    <row r="186" s="3" customFormat="1" ht="11.25"/>
    <row r="187" s="3" customFormat="1" ht="11.25"/>
    <row r="188" s="3" customFormat="1" ht="11.25"/>
    <row r="189" s="3" customFormat="1" ht="11.25"/>
    <row r="190" s="3" customFormat="1" ht="11.25"/>
    <row r="191" s="3" customFormat="1" ht="11.25"/>
    <row r="192" s="3" customFormat="1" ht="11.25"/>
    <row r="193" s="3" customFormat="1" ht="11.25"/>
    <row r="194" s="3" customFormat="1" ht="11.25"/>
    <row r="195" s="3" customFormat="1" ht="11.25"/>
    <row r="196" s="3" customFormat="1" ht="11.25"/>
    <row r="197" s="3" customFormat="1" ht="11.25"/>
    <row r="198" s="3" customFormat="1" ht="11.25"/>
    <row r="199" s="3" customFormat="1" ht="11.25"/>
    <row r="200" s="3" customFormat="1" ht="11.25"/>
    <row r="201" s="3" customFormat="1" ht="11.25"/>
    <row r="202" s="3" customFormat="1" ht="11.25"/>
    <row r="203" s="3" customFormat="1" ht="11.25"/>
    <row r="204" s="3" customFormat="1" ht="11.25"/>
    <row r="205" s="3" customFormat="1" ht="11.25"/>
    <row r="206" s="3" customFormat="1" ht="11.25"/>
    <row r="207" s="3" customFormat="1" ht="11.25"/>
    <row r="208" s="3" customFormat="1" ht="11.25"/>
    <row r="209" s="3" customFormat="1" ht="11.25"/>
    <row r="210" s="3" customFormat="1" ht="11.25"/>
    <row r="211" s="3" customFormat="1" ht="11.25"/>
    <row r="212" s="3" customFormat="1" ht="11.25"/>
    <row r="213" s="3" customFormat="1" ht="11.25"/>
    <row r="214" s="3" customFormat="1" ht="11.25"/>
    <row r="215" s="3" customFormat="1" ht="11.25"/>
    <row r="216" s="3" customFormat="1" ht="11.25"/>
    <row r="217" s="3" customFormat="1" ht="11.25"/>
    <row r="218" s="3" customFormat="1" ht="11.25"/>
    <row r="219" s="3" customFormat="1" ht="11.25"/>
    <row r="220" s="3" customFormat="1" ht="11.25"/>
    <row r="221" s="3" customFormat="1" ht="11.25"/>
    <row r="222" s="3" customFormat="1" ht="11.25"/>
    <row r="223" s="3" customFormat="1" ht="11.25"/>
    <row r="224" s="3" customFormat="1" ht="11.25"/>
    <row r="225" s="3" customFormat="1" ht="11.25"/>
    <row r="226" s="3" customFormat="1" ht="11.25"/>
    <row r="227" s="3" customFormat="1" ht="11.25"/>
    <row r="228" s="3" customFormat="1" ht="11.25"/>
    <row r="229" s="3" customFormat="1" ht="11.25"/>
    <row r="230" s="3" customFormat="1" ht="11.25"/>
    <row r="231" s="3" customFormat="1" ht="11.25"/>
    <row r="232" s="3" customFormat="1" ht="11.25"/>
    <row r="233" s="3" customFormat="1" ht="11.25"/>
    <row r="234" s="3" customFormat="1" ht="11.25"/>
    <row r="235" s="3" customFormat="1" ht="11.25"/>
    <row r="236" s="3" customFormat="1" ht="11.25"/>
    <row r="237" s="3" customFormat="1" ht="11.25"/>
    <row r="238" s="3" customFormat="1" ht="11.25"/>
    <row r="239" s="3" customFormat="1" ht="11.25"/>
    <row r="240" s="3" customFormat="1" ht="11.25"/>
    <row r="241" s="3" customFormat="1" ht="11.25"/>
    <row r="242" s="3" customFormat="1" ht="11.25"/>
    <row r="243" s="3" customFormat="1" ht="11.25"/>
    <row r="244" s="3" customFormat="1" ht="11.25"/>
    <row r="245" s="3" customFormat="1" ht="11.25"/>
    <row r="246" s="3" customFormat="1" ht="11.25"/>
    <row r="247" s="3" customFormat="1" ht="11.25"/>
    <row r="248" s="3" customFormat="1" ht="11.25"/>
    <row r="249" s="3" customFormat="1" ht="11.25"/>
    <row r="250" s="3" customFormat="1" ht="11.25"/>
    <row r="251" s="3" customFormat="1" ht="11.25"/>
    <row r="252" s="3" customFormat="1" ht="11.25"/>
    <row r="253" s="3" customFormat="1" ht="11.25"/>
    <row r="254" s="3" customFormat="1" ht="11.25"/>
    <row r="255" s="3" customFormat="1" ht="11.25"/>
    <row r="256" s="3" customFormat="1" ht="11.25"/>
    <row r="257" s="3" customFormat="1" ht="11.25"/>
    <row r="258" s="3" customFormat="1" ht="11.25"/>
    <row r="259" s="3" customFormat="1" ht="11.25"/>
    <row r="260" s="3" customFormat="1" ht="11.25"/>
    <row r="261" s="3" customFormat="1" ht="11.25"/>
    <row r="262" s="3" customFormat="1" ht="11.25"/>
    <row r="263" s="3" customFormat="1" ht="11.25"/>
    <row r="264" s="3" customFormat="1" ht="11.25"/>
    <row r="265" s="3" customFormat="1" ht="11.25"/>
    <row r="266" s="3" customFormat="1" ht="11.25"/>
    <row r="267" s="3" customFormat="1" ht="11.25"/>
    <row r="268" s="3" customFormat="1" ht="11.25"/>
    <row r="269" s="3" customFormat="1" ht="11.25"/>
    <row r="270" s="3" customFormat="1" ht="11.25"/>
    <row r="271" s="3" customFormat="1" ht="11.25"/>
    <row r="272" s="3" customFormat="1" ht="11.25"/>
    <row r="273" s="3" customFormat="1" ht="11.25"/>
    <row r="274" s="3" customFormat="1" ht="11.25"/>
    <row r="275" s="3" customFormat="1" ht="11.25"/>
    <row r="276" s="3" customFormat="1" ht="11.25"/>
    <row r="277" s="3" customFormat="1" ht="11.25"/>
    <row r="278" s="3" customFormat="1" ht="11.25"/>
    <row r="279" s="3" customFormat="1" ht="11.25"/>
    <row r="280" s="3" customFormat="1" ht="11.25"/>
    <row r="281" s="3" customFormat="1" ht="11.25"/>
    <row r="282" s="3" customFormat="1" ht="11.25"/>
    <row r="283" s="3" customFormat="1" ht="11.25"/>
    <row r="284" s="3" customFormat="1" ht="11.25"/>
    <row r="285" s="3" customFormat="1" ht="11.25"/>
    <row r="286" s="3" customFormat="1" ht="11.25"/>
    <row r="287" s="3" customFormat="1" ht="11.25"/>
    <row r="288" s="3" customFormat="1" ht="11.25"/>
    <row r="289" s="3" customFormat="1" ht="11.25"/>
    <row r="290" s="3" customFormat="1" ht="11.25"/>
    <row r="291" s="3" customFormat="1" ht="11.25"/>
    <row r="292" s="3" customFormat="1" ht="11.25"/>
    <row r="293" s="3" customFormat="1" ht="11.25"/>
    <row r="294" s="3" customFormat="1" ht="11.25"/>
    <row r="295" s="3" customFormat="1" ht="11.25"/>
    <row r="296" s="3" customFormat="1" ht="11.25"/>
    <row r="297" s="3" customFormat="1" ht="11.25"/>
    <row r="298" s="3" customFormat="1" ht="11.25"/>
    <row r="299" s="3" customFormat="1" ht="11.25"/>
    <row r="300" s="3" customFormat="1" ht="11.25"/>
    <row r="301" s="3" customFormat="1" ht="11.25"/>
    <row r="302" s="3" customFormat="1" ht="11.25"/>
    <row r="303" s="3" customFormat="1" ht="11.25"/>
    <row r="304" s="3" customFormat="1" ht="11.25"/>
    <row r="305" s="3" customFormat="1" ht="11.25"/>
    <row r="306" s="3" customFormat="1" ht="11.25"/>
    <row r="307" s="3" customFormat="1" ht="11.25"/>
    <row r="308" s="3" customFormat="1" ht="11.25"/>
    <row r="309" s="3" customFormat="1" ht="11.25"/>
    <row r="310" s="3" customFormat="1" ht="11.25"/>
    <row r="311" s="3" customFormat="1" ht="11.25"/>
    <row r="312" s="3" customFormat="1" ht="11.25"/>
    <row r="313" s="3" customFormat="1" ht="11.25"/>
    <row r="314" s="3" customFormat="1" ht="11.25"/>
    <row r="315" s="3" customFormat="1" ht="11.25"/>
    <row r="316" s="3" customFormat="1" ht="11.25"/>
    <row r="317" s="3" customFormat="1" ht="11.25"/>
    <row r="318" s="3" customFormat="1" ht="11.25"/>
    <row r="319" s="3" customFormat="1" ht="11.25"/>
    <row r="320" s="3" customFormat="1" ht="11.25"/>
    <row r="321" s="3" customFormat="1" ht="11.25"/>
    <row r="322" s="3" customFormat="1" ht="11.25"/>
    <row r="323" s="3" customFormat="1" ht="11.25"/>
    <row r="324" s="3" customFormat="1" ht="11.25"/>
    <row r="325" s="3" customFormat="1" ht="11.25"/>
    <row r="326" s="3" customFormat="1" ht="11.25"/>
    <row r="327" s="3" customFormat="1" ht="11.25"/>
    <row r="328" s="3" customFormat="1" ht="11.25"/>
    <row r="329" s="3" customFormat="1" ht="11.25"/>
    <row r="330" s="3" customFormat="1" ht="11.25"/>
    <row r="331" s="3" customFormat="1" ht="11.25"/>
    <row r="332" s="3" customFormat="1" ht="11.25"/>
    <row r="333" s="3" customFormat="1" ht="11.25"/>
    <row r="334" s="3" customFormat="1" ht="11.25"/>
    <row r="335" s="3" customFormat="1" ht="11.25"/>
    <row r="336" s="3" customFormat="1" ht="11.25"/>
    <row r="337" s="3" customFormat="1" ht="11.25"/>
    <row r="338" s="3" customFormat="1" ht="11.25"/>
    <row r="339" s="3" customFormat="1" ht="11.25"/>
    <row r="340" s="3" customFormat="1" ht="11.25"/>
    <row r="341" s="3" customFormat="1" ht="11.25"/>
    <row r="342" s="3" customFormat="1" ht="11.25"/>
    <row r="343" s="3" customFormat="1" ht="11.25"/>
    <row r="344" s="3" customFormat="1" ht="11.25"/>
    <row r="345" s="3" customFormat="1" ht="11.25"/>
    <row r="346" s="3" customFormat="1" ht="11.25"/>
    <row r="347" s="3" customFormat="1" ht="11.25"/>
    <row r="348" s="3" customFormat="1" ht="11.25"/>
    <row r="349" s="3" customFormat="1" ht="11.25"/>
    <row r="350" s="3" customFormat="1" ht="11.25"/>
    <row r="351" s="3" customFormat="1" ht="11.25"/>
    <row r="352" s="3" customFormat="1" ht="11.25"/>
    <row r="353" s="3" customFormat="1" ht="11.25"/>
    <row r="354" s="3" customFormat="1" ht="11.25"/>
    <row r="355" s="3" customFormat="1" ht="11.25"/>
    <row r="356" s="3" customFormat="1" ht="11.25"/>
    <row r="357" s="3" customFormat="1" ht="11.25"/>
    <row r="358" s="3" customFormat="1" ht="11.25"/>
    <row r="359" s="3" customFormat="1" ht="11.25"/>
    <row r="360" s="3" customFormat="1" ht="11.25"/>
    <row r="361" s="3" customFormat="1" ht="11.25"/>
    <row r="362" s="3" customFormat="1" ht="11.25"/>
    <row r="363" s="3" customFormat="1" ht="11.25"/>
    <row r="364" s="3" customFormat="1" ht="11.25"/>
    <row r="365" s="3" customFormat="1" ht="11.25"/>
    <row r="366" s="3" customFormat="1" ht="11.25"/>
    <row r="367" s="3" customFormat="1" ht="11.25"/>
    <row r="368" s="3" customFormat="1" ht="11.25"/>
    <row r="369" s="3" customFormat="1" ht="11.25"/>
    <row r="370" s="3" customFormat="1" ht="11.25"/>
    <row r="371" s="3" customFormat="1" ht="11.25"/>
    <row r="372" s="3" customFormat="1" ht="11.25"/>
    <row r="373" s="3" customFormat="1" ht="11.25"/>
    <row r="374" s="3" customFormat="1" ht="11.25"/>
    <row r="375" s="3" customFormat="1" ht="11.25"/>
    <row r="376" s="3" customFormat="1" ht="11.25"/>
    <row r="377" s="3" customFormat="1" ht="11.25"/>
    <row r="378" s="3" customFormat="1" ht="11.25"/>
    <row r="379" s="3" customFormat="1" ht="11.25"/>
    <row r="380" s="3" customFormat="1" ht="11.25"/>
    <row r="381" s="3" customFormat="1" ht="11.25"/>
    <row r="382" s="3" customFormat="1" ht="11.25"/>
    <row r="383" s="3" customFormat="1" ht="11.25"/>
    <row r="384" s="3" customFormat="1" ht="11.25"/>
    <row r="385" s="3" customFormat="1" ht="11.25"/>
    <row r="386" s="3" customFormat="1" ht="11.25"/>
    <row r="387" s="3" customFormat="1" ht="11.25"/>
    <row r="388" s="3" customFormat="1" ht="11.25"/>
    <row r="389" s="3" customFormat="1" ht="11.25"/>
    <row r="390" s="3" customFormat="1" ht="11.25"/>
    <row r="391" s="3" customFormat="1" ht="11.25"/>
    <row r="392" s="3" customFormat="1" ht="11.25"/>
    <row r="393" s="3" customFormat="1" ht="11.25"/>
    <row r="394" s="3" customFormat="1" ht="11.25"/>
    <row r="395" s="3" customFormat="1" ht="11.25"/>
    <row r="396" s="3" customFormat="1" ht="11.25"/>
    <row r="397" s="3" customFormat="1" ht="11.25"/>
    <row r="398" s="3" customFormat="1" ht="11.25"/>
    <row r="399" s="3" customFormat="1" ht="11.25"/>
    <row r="400" s="3" customFormat="1" ht="11.25"/>
    <row r="401" s="3" customFormat="1" ht="11.25"/>
    <row r="402" s="3" customFormat="1" ht="11.25"/>
    <row r="403" s="3" customFormat="1" ht="11.25"/>
    <row r="404" s="3" customFormat="1" ht="11.25"/>
    <row r="405" s="3" customFormat="1" ht="11.25"/>
    <row r="406" s="3" customFormat="1" ht="11.25"/>
    <row r="407" s="3" customFormat="1" ht="11.25"/>
    <row r="408" s="3" customFormat="1" ht="11.25"/>
    <row r="409" s="3" customFormat="1" ht="11.25"/>
    <row r="410" s="3" customFormat="1" ht="11.25"/>
    <row r="411" s="3" customFormat="1" ht="11.25"/>
    <row r="412" s="3" customFormat="1" ht="11.25"/>
    <row r="413" s="3" customFormat="1" ht="11.25"/>
    <row r="414" s="3" customFormat="1" ht="11.25"/>
    <row r="415" s="3" customFormat="1" ht="11.25"/>
    <row r="416" s="3" customFormat="1" ht="11.25"/>
    <row r="417" s="3" customFormat="1" ht="11.25"/>
    <row r="418" s="3" customFormat="1" ht="11.25"/>
    <row r="419" s="3" customFormat="1" ht="11.25"/>
    <row r="420" s="3" customFormat="1" ht="11.25"/>
    <row r="421" s="3" customFormat="1" ht="11.25"/>
    <row r="422" s="3" customFormat="1" ht="11.25"/>
    <row r="423" s="3" customFormat="1" ht="11.25"/>
    <row r="424" s="3" customFormat="1" ht="11.25"/>
    <row r="425" s="3" customFormat="1" ht="11.25"/>
    <row r="426" s="3" customFormat="1" ht="11.25"/>
    <row r="427" s="3" customFormat="1" ht="11.25"/>
    <row r="428" s="3" customFormat="1" ht="11.25"/>
    <row r="429" s="3" customFormat="1" ht="11.25"/>
    <row r="430" s="3" customFormat="1" ht="11.25"/>
    <row r="431" s="3" customFormat="1" ht="11.25"/>
    <row r="432" s="3" customFormat="1" ht="11.25"/>
    <row r="433" s="3" customFormat="1" ht="11.25"/>
    <row r="434" s="3" customFormat="1" ht="11.25"/>
    <row r="435" s="3" customFormat="1" ht="11.25"/>
    <row r="436" s="3" customFormat="1" ht="11.25"/>
    <row r="437" s="3" customFormat="1" ht="11.25"/>
    <row r="438" s="3" customFormat="1" ht="11.25"/>
    <row r="439" s="3" customFormat="1" ht="11.25"/>
    <row r="440" s="3" customFormat="1" ht="11.25"/>
    <row r="441" s="3" customFormat="1" ht="11.25"/>
    <row r="442" s="3" customFormat="1" ht="11.25"/>
    <row r="443" s="3" customFormat="1" ht="11.25"/>
    <row r="444" s="3" customFormat="1" ht="11.25"/>
    <row r="445" s="3" customFormat="1" ht="11.25"/>
    <row r="446" s="3" customFormat="1" ht="11.25"/>
    <row r="447" s="3" customFormat="1" ht="11.25"/>
    <row r="448" s="3" customFormat="1" ht="11.25"/>
    <row r="449" s="3" customFormat="1" ht="11.25"/>
    <row r="450" s="3" customFormat="1" ht="11.25"/>
    <row r="451" s="3" customFormat="1" ht="11.25"/>
    <row r="452" s="3" customFormat="1" ht="11.25"/>
    <row r="453" s="3" customFormat="1" ht="11.25"/>
    <row r="454" s="3" customFormat="1" ht="11.25"/>
    <row r="455" s="3" customFormat="1" ht="11.25"/>
    <row r="456" s="3" customFormat="1" ht="11.25"/>
    <row r="457" s="3" customFormat="1" ht="11.25"/>
    <row r="458" s="3" customFormat="1" ht="11.25"/>
    <row r="459" s="3" customFormat="1" ht="11.25"/>
    <row r="460" s="3" customFormat="1" ht="11.25"/>
    <row r="461" s="3" customFormat="1" ht="11.25"/>
    <row r="462" s="3" customFormat="1" ht="11.25"/>
    <row r="463" s="3" customFormat="1" ht="11.25"/>
    <row r="464" s="3" customFormat="1" ht="11.25"/>
    <row r="465" s="3" customFormat="1" ht="11.25"/>
    <row r="466" s="3" customFormat="1" ht="11.25"/>
    <row r="467" s="3" customFormat="1" ht="11.25"/>
    <row r="468" s="3" customFormat="1" ht="11.25"/>
    <row r="469" s="3" customFormat="1" ht="11.25"/>
    <row r="470" s="3" customFormat="1" ht="11.25"/>
    <row r="471" s="3" customFormat="1" ht="11.25"/>
    <row r="472" s="3" customFormat="1" ht="11.25"/>
    <row r="473" s="3" customFormat="1" ht="11.25"/>
    <row r="474" s="3" customFormat="1" ht="11.25"/>
    <row r="475" s="3" customFormat="1" ht="11.25"/>
    <row r="476" s="3" customFormat="1" ht="11.25"/>
    <row r="477" s="3" customFormat="1" ht="11.25"/>
    <row r="478" s="3" customFormat="1" ht="11.25"/>
    <row r="479" s="3" customFormat="1" ht="11.25"/>
    <row r="480" s="3" customFormat="1" ht="11.25"/>
    <row r="481" s="3" customFormat="1" ht="11.25"/>
    <row r="482" s="3" customFormat="1" ht="11.25"/>
    <row r="483" s="3" customFormat="1" ht="11.25"/>
    <row r="484" s="3" customFormat="1" ht="11.25"/>
    <row r="485" s="3" customFormat="1" ht="11.25"/>
    <row r="486" s="3" customFormat="1" ht="11.25"/>
    <row r="487" s="3" customFormat="1" ht="11.25"/>
    <row r="488" s="3" customFormat="1" ht="11.25"/>
    <row r="489" s="3" customFormat="1" ht="11.25"/>
    <row r="490" s="3" customFormat="1" ht="11.25"/>
    <row r="491" s="3" customFormat="1" ht="11.25"/>
    <row r="492" s="3" customFormat="1" ht="11.25"/>
    <row r="493" s="3" customFormat="1" ht="11.25"/>
    <row r="494" s="3" customFormat="1" ht="11.25"/>
    <row r="495" s="3" customFormat="1" ht="11.25"/>
    <row r="496" s="3" customFormat="1" ht="11.25"/>
    <row r="497" s="3" customFormat="1" ht="11.25"/>
    <row r="498" s="3" customFormat="1" ht="11.25"/>
    <row r="499" s="3" customFormat="1" ht="11.25"/>
    <row r="500" s="3" customFormat="1" ht="11.25"/>
    <row r="501" s="3" customFormat="1" ht="11.25"/>
    <row r="502" s="3" customFormat="1" ht="11.25"/>
    <row r="503" s="3" customFormat="1" ht="11.25"/>
    <row r="504" s="3" customFormat="1" ht="11.25"/>
    <row r="505" s="3" customFormat="1" ht="11.25"/>
    <row r="506" s="3" customFormat="1" ht="11.25"/>
    <row r="507" s="3" customFormat="1" ht="11.25"/>
    <row r="508" s="3" customFormat="1" ht="11.25"/>
    <row r="509" s="3" customFormat="1" ht="11.25"/>
    <row r="510" s="3" customFormat="1" ht="11.25"/>
    <row r="511" s="3" customFormat="1" ht="11.25"/>
    <row r="512" s="3" customFormat="1" ht="11.25"/>
    <row r="513" s="3" customFormat="1" ht="11.25"/>
    <row r="514" s="3" customFormat="1" ht="11.25"/>
    <row r="515" s="3" customFormat="1" ht="11.25"/>
    <row r="516" s="3" customFormat="1" ht="11.25"/>
    <row r="517" s="3" customFormat="1" ht="11.25"/>
    <row r="518" s="3" customFormat="1" ht="11.25"/>
    <row r="519" s="3" customFormat="1" ht="11.25"/>
    <row r="520" s="3" customFormat="1" ht="11.25"/>
    <row r="521" s="3" customFormat="1" ht="11.25"/>
    <row r="522" s="3" customFormat="1" ht="11.25"/>
    <row r="523" s="3" customFormat="1" ht="11.25"/>
    <row r="524" s="3" customFormat="1" ht="11.25"/>
    <row r="525" s="3" customFormat="1" ht="11.25"/>
    <row r="526" s="3" customFormat="1" ht="11.25"/>
    <row r="527" s="3" customFormat="1" ht="11.25"/>
    <row r="528" s="3" customFormat="1" ht="11.25"/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="3" customFormat="1" ht="11.25"/>
    <row r="560" s="3" customFormat="1" ht="11.25"/>
    <row r="561" s="3" customFormat="1" ht="11.25"/>
    <row r="562" s="3" customFormat="1" ht="11.25"/>
    <row r="563" s="3" customFormat="1" ht="11.25"/>
    <row r="564" s="3" customFormat="1" ht="11.25"/>
    <row r="565" s="3" customFormat="1" ht="11.25"/>
    <row r="566" s="3" customFormat="1" ht="11.25"/>
    <row r="567" s="3" customFormat="1" ht="11.25"/>
    <row r="568" s="3" customFormat="1" ht="11.25"/>
    <row r="569" s="3" customFormat="1" ht="11.25"/>
    <row r="570" s="3" customFormat="1" ht="11.25"/>
    <row r="571" s="3" customFormat="1" ht="11.25"/>
    <row r="572" s="3" customFormat="1" ht="11.25"/>
    <row r="573" s="3" customFormat="1" ht="11.25"/>
    <row r="574" s="3" customFormat="1" ht="11.25"/>
    <row r="575" s="3" customFormat="1" ht="11.25"/>
    <row r="576" s="3" customFormat="1" ht="11.25"/>
    <row r="577" s="3" customFormat="1" ht="11.25"/>
    <row r="578" s="3" customFormat="1" ht="11.25"/>
    <row r="579" s="3" customFormat="1" ht="11.25"/>
    <row r="580" s="3" customFormat="1" ht="11.25"/>
    <row r="581" s="3" customFormat="1" ht="11.25"/>
    <row r="582" s="3" customFormat="1" ht="11.25"/>
    <row r="583" s="3" customFormat="1" ht="11.25"/>
    <row r="584" s="3" customFormat="1" ht="11.25"/>
    <row r="585" s="3" customFormat="1" ht="11.25"/>
    <row r="586" s="3" customFormat="1" ht="11.25"/>
    <row r="587" s="3" customFormat="1" ht="11.25"/>
    <row r="588" s="3" customFormat="1" ht="11.25"/>
    <row r="589" s="3" customFormat="1" ht="11.25"/>
    <row r="590" s="3" customFormat="1" ht="11.25"/>
    <row r="591" s="3" customFormat="1" ht="11.25"/>
    <row r="592" s="3" customFormat="1" ht="11.25"/>
    <row r="593" s="3" customFormat="1" ht="11.25"/>
    <row r="594" s="3" customFormat="1" ht="11.25"/>
    <row r="595" s="3" customFormat="1" ht="11.25"/>
    <row r="596" s="3" customFormat="1" ht="11.25"/>
    <row r="597" s="3" customFormat="1" ht="11.25"/>
    <row r="598" s="3" customFormat="1" ht="11.25"/>
    <row r="599" s="3" customFormat="1" ht="11.25"/>
    <row r="600" s="3" customFormat="1" ht="11.25"/>
    <row r="601" s="3" customFormat="1" ht="11.25"/>
    <row r="602" s="3" customFormat="1" ht="11.25"/>
    <row r="603" s="3" customFormat="1" ht="11.25"/>
    <row r="604" s="3" customFormat="1" ht="11.25"/>
    <row r="605" s="3" customFormat="1" ht="11.25"/>
    <row r="606" s="3" customFormat="1" ht="11.25"/>
    <row r="607" s="3" customFormat="1" ht="11.25"/>
    <row r="608" s="3" customFormat="1" ht="11.25"/>
    <row r="609" s="3" customFormat="1" ht="11.25"/>
    <row r="610" s="3" customFormat="1" ht="11.25"/>
    <row r="611" s="3" customFormat="1" ht="11.25"/>
    <row r="612" s="3" customFormat="1" ht="11.25"/>
    <row r="613" s="3" customFormat="1" ht="11.25"/>
    <row r="614" s="3" customFormat="1" ht="11.25"/>
    <row r="615" s="3" customFormat="1" ht="11.25"/>
    <row r="616" s="3" customFormat="1" ht="11.25"/>
    <row r="617" s="3" customFormat="1" ht="11.25"/>
    <row r="618" s="3" customFormat="1" ht="11.25"/>
    <row r="619" s="3" customFormat="1" ht="11.25"/>
    <row r="620" s="3" customFormat="1" ht="11.25"/>
    <row r="621" s="3" customFormat="1" ht="11.25"/>
  </sheetData>
  <sheetProtection sheet="1"/>
  <mergeCells count="17">
    <mergeCell ref="H54:I54"/>
    <mergeCell ref="E12:G12"/>
    <mergeCell ref="A8:J8"/>
    <mergeCell ref="A9:J9"/>
    <mergeCell ref="A10:J10"/>
    <mergeCell ref="A11:J11"/>
    <mergeCell ref="B20:D20"/>
    <mergeCell ref="C21:D21"/>
    <mergeCell ref="B19:D19"/>
    <mergeCell ref="B17:D17"/>
    <mergeCell ref="A1:G1"/>
    <mergeCell ref="B18:D18"/>
    <mergeCell ref="B16:D16"/>
    <mergeCell ref="B12:D12"/>
    <mergeCell ref="B13:D13"/>
    <mergeCell ref="B14:D14"/>
    <mergeCell ref="B15:D15"/>
  </mergeCells>
  <printOptions/>
  <pageMargins left="0.5" right="0.5" top="0.5" bottom="0.5" header="0" footer="0"/>
  <pageSetup fitToHeight="1" fitToWidth="1" horizontalDpi="600" verticalDpi="600" orientation="portrait" scale="6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AI80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1.7109375" style="106" customWidth="1"/>
    <col min="2" max="2" width="20.421875" style="106" customWidth="1"/>
    <col min="3" max="3" width="26.8515625" style="106" customWidth="1"/>
    <col min="4" max="4" width="22.421875" style="106" customWidth="1"/>
    <col min="5" max="5" width="20.57421875" style="106" customWidth="1"/>
    <col min="6" max="6" width="16.140625" style="106" customWidth="1"/>
    <col min="7" max="7" width="17.28125" style="106" customWidth="1"/>
    <col min="8" max="8" width="15.421875" style="106" bestFit="1" customWidth="1"/>
    <col min="9" max="9" width="18.7109375" style="106" customWidth="1"/>
    <col min="10" max="10" width="16.57421875" style="106" customWidth="1"/>
    <col min="11" max="11" width="15.7109375" style="106" customWidth="1"/>
    <col min="12" max="12" width="12.7109375" style="106" customWidth="1"/>
    <col min="13" max="13" width="13.7109375" style="106" customWidth="1"/>
    <col min="14" max="14" width="12.7109375" style="106" customWidth="1"/>
    <col min="15" max="15" width="11.7109375" style="106" customWidth="1"/>
    <col min="16" max="16" width="12.7109375" style="106" customWidth="1"/>
    <col min="17" max="17" width="12.140625" style="106" customWidth="1"/>
    <col min="18" max="18" width="11.7109375" style="106" customWidth="1"/>
    <col min="19" max="19" width="12.57421875" style="106" customWidth="1"/>
    <col min="20" max="20" width="10.421875" style="106" customWidth="1"/>
    <col min="21" max="21" width="11.57421875" style="106" customWidth="1"/>
    <col min="22" max="22" width="13.28125" style="106" customWidth="1"/>
    <col min="23" max="27" width="9.140625" style="106" customWidth="1"/>
    <col min="28" max="28" width="10.00390625" style="106" customWidth="1"/>
    <col min="29" max="29" width="11.140625" style="106" customWidth="1"/>
    <col min="30" max="30" width="10.421875" style="106" customWidth="1"/>
    <col min="31" max="31" width="12.28125" style="106" customWidth="1"/>
    <col min="32" max="32" width="11.28125" style="106" customWidth="1"/>
    <col min="33" max="33" width="11.140625" style="106" customWidth="1"/>
    <col min="34" max="34" width="11.421875" style="106" customWidth="1"/>
    <col min="35" max="16384" width="9.140625" style="106" customWidth="1"/>
  </cols>
  <sheetData>
    <row r="1" spans="1:8" ht="23.25">
      <c r="A1" s="126" t="s">
        <v>950</v>
      </c>
      <c r="C1" s="178"/>
      <c r="D1" s="179" t="s">
        <v>44</v>
      </c>
      <c r="E1" s="178"/>
      <c r="F1" s="1060" t="s">
        <v>835</v>
      </c>
      <c r="G1" s="1061"/>
      <c r="H1" s="1061"/>
    </row>
    <row r="3" spans="1:5" ht="12.75">
      <c r="A3" s="32" t="s">
        <v>35</v>
      </c>
      <c r="C3" s="8" t="str">
        <f>Main!J1</f>
        <v>Revised 4/22/16</v>
      </c>
      <c r="E3" s="11" t="s">
        <v>144</v>
      </c>
    </row>
    <row r="4" spans="1:5" ht="11.25">
      <c r="A4" s="10" t="s">
        <v>682</v>
      </c>
      <c r="E4" s="11" t="s">
        <v>1174</v>
      </c>
    </row>
    <row r="5" spans="1:12" ht="11.25">
      <c r="A5" s="11" t="s">
        <v>1175</v>
      </c>
      <c r="B5" s="11" t="s">
        <v>985</v>
      </c>
      <c r="C5" s="11" t="s">
        <v>986</v>
      </c>
      <c r="D5" s="11" t="s">
        <v>987</v>
      </c>
      <c r="E5" s="11" t="s">
        <v>1176</v>
      </c>
      <c r="F5" s="11" t="s">
        <v>134</v>
      </c>
      <c r="G5" s="11" t="s">
        <v>957</v>
      </c>
      <c r="H5" s="11" t="s">
        <v>135</v>
      </c>
      <c r="I5" s="11" t="s">
        <v>136</v>
      </c>
      <c r="J5" s="11" t="s">
        <v>959</v>
      </c>
      <c r="K5" s="11" t="s">
        <v>990</v>
      </c>
      <c r="L5" s="12" t="s">
        <v>991</v>
      </c>
    </row>
    <row r="6" spans="1:12" ht="11.25">
      <c r="A6" s="978"/>
      <c r="B6" s="164"/>
      <c r="C6" s="978"/>
      <c r="D6" s="978"/>
      <c r="E6" s="978"/>
      <c r="F6" s="978"/>
      <c r="G6" s="978"/>
      <c r="H6" s="978"/>
      <c r="I6" s="978"/>
      <c r="J6" s="978"/>
      <c r="K6" s="978"/>
      <c r="L6" s="978"/>
    </row>
    <row r="7" spans="1:12" ht="11.25">
      <c r="A7" s="127"/>
      <c r="B7" s="164"/>
      <c r="C7" s="127"/>
      <c r="D7" s="127"/>
      <c r="E7" s="127"/>
      <c r="F7" s="127"/>
      <c r="G7" s="127"/>
      <c r="H7" s="127"/>
      <c r="I7" s="127"/>
      <c r="J7" s="127"/>
      <c r="K7" s="127"/>
      <c r="L7" s="127"/>
    </row>
    <row r="8" spans="1:12" ht="11.25">
      <c r="A8" s="127"/>
      <c r="B8" s="164"/>
      <c r="C8" s="127"/>
      <c r="D8" s="127"/>
      <c r="E8" s="127"/>
      <c r="F8" s="127"/>
      <c r="G8" s="127"/>
      <c r="H8" s="127"/>
      <c r="I8" s="127"/>
      <c r="J8" s="127"/>
      <c r="K8" s="127"/>
      <c r="L8" s="127"/>
    </row>
    <row r="9" spans="1:12" ht="11.25">
      <c r="A9" s="127"/>
      <c r="B9" s="164"/>
      <c r="C9" s="127"/>
      <c r="D9" s="127"/>
      <c r="E9" s="127"/>
      <c r="F9" s="127"/>
      <c r="G9" s="127"/>
      <c r="H9" s="127"/>
      <c r="I9" s="127"/>
      <c r="J9" s="127"/>
      <c r="K9" s="127"/>
      <c r="L9" s="127"/>
    </row>
    <row r="10" spans="1:12" ht="11.25">
      <c r="A10" s="127"/>
      <c r="B10" s="164"/>
      <c r="C10" s="127"/>
      <c r="D10" s="127"/>
      <c r="E10" s="127"/>
      <c r="F10" s="127"/>
      <c r="G10" s="127"/>
      <c r="H10" s="127"/>
      <c r="I10" s="127"/>
      <c r="J10" s="127"/>
      <c r="K10" s="127"/>
      <c r="L10" s="127"/>
    </row>
    <row r="11" spans="1:12" ht="11.25">
      <c r="A11" s="127"/>
      <c r="B11" s="164"/>
      <c r="C11" s="127"/>
      <c r="D11" s="127"/>
      <c r="E11" s="127"/>
      <c r="F11" s="127"/>
      <c r="G11" s="127"/>
      <c r="H11" s="127"/>
      <c r="I11" s="128"/>
      <c r="J11" s="129"/>
      <c r="K11" s="127"/>
      <c r="L11" s="127"/>
    </row>
    <row r="12" spans="1:12" ht="11.25">
      <c r="A12" s="127"/>
      <c r="B12" s="164"/>
      <c r="C12" s="127"/>
      <c r="D12" s="127"/>
      <c r="E12" s="127"/>
      <c r="F12" s="127"/>
      <c r="G12" s="127"/>
      <c r="H12" s="127"/>
      <c r="I12" s="130"/>
      <c r="J12" s="131"/>
      <c r="K12" s="127"/>
      <c r="L12" s="127"/>
    </row>
    <row r="13" spans="1:12" ht="11.25">
      <c r="A13" s="127"/>
      <c r="B13" s="164"/>
      <c r="C13" s="127"/>
      <c r="D13" s="127"/>
      <c r="E13" s="127"/>
      <c r="F13" s="127"/>
      <c r="G13" s="127"/>
      <c r="H13" s="127"/>
      <c r="I13" s="127"/>
      <c r="J13" s="127"/>
      <c r="K13" s="127"/>
      <c r="L13" s="127"/>
    </row>
    <row r="14" spans="1:12" ht="11.25">
      <c r="A14" s="127"/>
      <c r="B14" s="164"/>
      <c r="C14" s="127"/>
      <c r="D14" s="127"/>
      <c r="E14" s="127"/>
      <c r="F14" s="127"/>
      <c r="G14" s="127"/>
      <c r="H14" s="127"/>
      <c r="I14" s="127"/>
      <c r="J14" s="127"/>
      <c r="K14" s="127"/>
      <c r="L14" s="127"/>
    </row>
    <row r="15" spans="1:12" ht="11.25">
      <c r="A15" s="127"/>
      <c r="B15" s="164"/>
      <c r="C15" s="127"/>
      <c r="D15" s="127"/>
      <c r="E15" s="127"/>
      <c r="F15" s="127"/>
      <c r="G15" s="127"/>
      <c r="H15" s="127"/>
      <c r="I15" s="127"/>
      <c r="J15" s="127"/>
      <c r="K15" s="127"/>
      <c r="L15" s="127"/>
    </row>
    <row r="16" spans="1:12" ht="11.25">
      <c r="A16" s="127"/>
      <c r="B16" s="164"/>
      <c r="C16" s="127"/>
      <c r="D16" s="127"/>
      <c r="E16" s="127"/>
      <c r="F16" s="127"/>
      <c r="G16" s="127"/>
      <c r="H16" s="127"/>
      <c r="I16" s="127"/>
      <c r="J16" s="127"/>
      <c r="K16" s="127"/>
      <c r="L16" s="127"/>
    </row>
    <row r="17" spans="1:12" ht="11.25">
      <c r="A17" s="127"/>
      <c r="B17" s="164"/>
      <c r="C17" s="127"/>
      <c r="D17" s="127"/>
      <c r="E17" s="127"/>
      <c r="F17" s="127"/>
      <c r="G17" s="127"/>
      <c r="H17" s="127"/>
      <c r="I17" s="127"/>
      <c r="J17" s="127"/>
      <c r="K17" s="127"/>
      <c r="L17" s="127"/>
    </row>
    <row r="18" spans="1:12" ht="11.25">
      <c r="A18" s="127"/>
      <c r="B18" s="164"/>
      <c r="C18" s="127"/>
      <c r="D18" s="127"/>
      <c r="E18" s="127"/>
      <c r="F18" s="127"/>
      <c r="G18" s="127"/>
      <c r="H18" s="127"/>
      <c r="I18" s="127"/>
      <c r="J18" s="127"/>
      <c r="K18" s="127"/>
      <c r="L18" s="127"/>
    </row>
    <row r="19" spans="1:12" ht="11.25">
      <c r="A19" s="127"/>
      <c r="B19" s="164"/>
      <c r="C19" s="127"/>
      <c r="D19" s="127"/>
      <c r="E19" s="127"/>
      <c r="F19" s="127"/>
      <c r="G19" s="127"/>
      <c r="H19" s="127"/>
      <c r="I19" s="127"/>
      <c r="J19" s="127"/>
      <c r="K19" s="127"/>
      <c r="L19" s="127"/>
    </row>
    <row r="20" spans="1:12" ht="11.25">
      <c r="A20" s="127"/>
      <c r="B20" s="164"/>
      <c r="C20" s="127"/>
      <c r="D20" s="127"/>
      <c r="E20" s="127"/>
      <c r="F20" s="127"/>
      <c r="G20" s="127"/>
      <c r="H20" s="127"/>
      <c r="I20" s="127"/>
      <c r="J20" s="127"/>
      <c r="K20" s="127"/>
      <c r="L20" s="127"/>
    </row>
    <row r="21" spans="1:12" ht="11.25">
      <c r="A21" s="127"/>
      <c r="B21" s="164"/>
      <c r="C21" s="127"/>
      <c r="D21" s="127"/>
      <c r="E21" s="127"/>
      <c r="F21" s="127"/>
      <c r="G21" s="127"/>
      <c r="H21" s="127"/>
      <c r="I21" s="127"/>
      <c r="J21" s="127"/>
      <c r="K21" s="127"/>
      <c r="L21" s="127"/>
    </row>
    <row r="22" spans="1:12" ht="11.25">
      <c r="A22" s="127"/>
      <c r="B22" s="164"/>
      <c r="C22" s="127"/>
      <c r="D22" s="127"/>
      <c r="E22" s="127"/>
      <c r="F22" s="127"/>
      <c r="G22" s="127"/>
      <c r="H22" s="127"/>
      <c r="I22" s="127"/>
      <c r="J22" s="127"/>
      <c r="K22" s="127"/>
      <c r="L22" s="127"/>
    </row>
    <row r="23" spans="1:12" ht="11.25">
      <c r="A23" s="127"/>
      <c r="B23" s="164"/>
      <c r="C23" s="127"/>
      <c r="D23" s="127"/>
      <c r="E23" s="127"/>
      <c r="F23" s="127"/>
      <c r="G23" s="127"/>
      <c r="H23" s="127"/>
      <c r="I23" s="127"/>
      <c r="J23" s="127"/>
      <c r="K23" s="127"/>
      <c r="L23" s="127"/>
    </row>
    <row r="24" spans="1:12" ht="11.25">
      <c r="A24" s="127"/>
      <c r="B24" s="164"/>
      <c r="C24" s="127"/>
      <c r="D24" s="127"/>
      <c r="E24" s="127"/>
      <c r="F24" s="127"/>
      <c r="G24" s="127"/>
      <c r="H24" s="127"/>
      <c r="I24" s="127"/>
      <c r="J24" s="127"/>
      <c r="K24" s="127"/>
      <c r="L24" s="127"/>
    </row>
    <row r="25" spans="1:12" ht="11.25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3"/>
    </row>
    <row r="26" spans="1:12" ht="11.25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3"/>
    </row>
    <row r="27" spans="1:12" ht="11.25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3"/>
    </row>
    <row r="28" spans="1:12" ht="11.25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3"/>
    </row>
    <row r="29" spans="1:12" ht="11.25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3"/>
    </row>
    <row r="30" spans="1:12" ht="11.25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3"/>
    </row>
    <row r="31" spans="1:12" ht="11.25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3"/>
    </row>
    <row r="32" spans="1:12" ht="11.2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3"/>
    </row>
    <row r="33" spans="1:12" ht="11.25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3"/>
    </row>
    <row r="34" spans="1:12" ht="11.25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3"/>
    </row>
    <row r="35" spans="1:12" ht="11.25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3"/>
    </row>
    <row r="36" spans="1:12" ht="11.25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3"/>
    </row>
    <row r="37" spans="1:12" ht="11.25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3"/>
    </row>
    <row r="38" spans="1:12" ht="11.25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3"/>
    </row>
    <row r="39" spans="1:12" ht="11.25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3"/>
    </row>
    <row r="40" spans="1:12" ht="11.25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3"/>
    </row>
    <row r="41" spans="1:12" ht="11.25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3"/>
    </row>
    <row r="42" spans="1:12" ht="11.25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3"/>
    </row>
    <row r="43" spans="1:12" ht="11.25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3"/>
    </row>
    <row r="44" spans="1:12" ht="11.25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3"/>
    </row>
    <row r="45" spans="1:12" ht="11.25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3"/>
    </row>
    <row r="46" spans="1:12" ht="11.25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3"/>
    </row>
    <row r="47" spans="1:12" ht="11.25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3"/>
    </row>
    <row r="48" spans="1:12" ht="11.25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3"/>
    </row>
    <row r="49" spans="1:12" ht="11.25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3"/>
    </row>
    <row r="50" spans="1:12" ht="11.25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3"/>
    </row>
    <row r="51" spans="1:12" ht="11.25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3"/>
    </row>
    <row r="52" spans="1:12" ht="11.25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3"/>
    </row>
    <row r="53" spans="1:12" ht="11.25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3"/>
    </row>
    <row r="54" spans="1:12" ht="11.25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3"/>
    </row>
    <row r="55" spans="1:12" ht="11.25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3"/>
    </row>
    <row r="56" spans="1:12" ht="11.25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3"/>
    </row>
    <row r="57" spans="1:12" ht="11.25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3"/>
    </row>
    <row r="58" spans="1:12" ht="11.25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3"/>
    </row>
    <row r="59" spans="1:12" ht="11.25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3"/>
    </row>
    <row r="60" spans="1:12" ht="11.25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3"/>
    </row>
    <row r="61" spans="1:12" ht="11.25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3"/>
    </row>
    <row r="62" spans="1:12" ht="11.25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3"/>
    </row>
    <row r="63" spans="1:12" ht="11.25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3"/>
    </row>
    <row r="64" spans="1:12" ht="11.25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3"/>
    </row>
    <row r="65" spans="1:12" ht="11.25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3"/>
    </row>
    <row r="66" spans="1:12" ht="11.25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3"/>
    </row>
    <row r="68" spans="3:8" ht="15.75">
      <c r="C68" s="178"/>
      <c r="D68" s="179" t="s">
        <v>44</v>
      </c>
      <c r="E68" s="178"/>
      <c r="F68" s="1060" t="s">
        <v>835</v>
      </c>
      <c r="G68" s="1061"/>
      <c r="H68" s="1061"/>
    </row>
    <row r="69" ht="11.25">
      <c r="A69" s="11" t="s">
        <v>34</v>
      </c>
    </row>
    <row r="70" spans="1:11" ht="11.25">
      <c r="A70" s="11" t="s">
        <v>1181</v>
      </c>
      <c r="B70" s="11" t="s">
        <v>601</v>
      </c>
      <c r="C70" s="11" t="s">
        <v>1180</v>
      </c>
      <c r="D70" s="11" t="s">
        <v>43</v>
      </c>
      <c r="E70" s="9" t="s">
        <v>988</v>
      </c>
      <c r="F70" s="9" t="s">
        <v>958</v>
      </c>
      <c r="G70" s="9" t="s">
        <v>989</v>
      </c>
      <c r="H70" s="9" t="s">
        <v>959</v>
      </c>
      <c r="I70" s="9" t="s">
        <v>984</v>
      </c>
      <c r="J70" s="9" t="s">
        <v>666</v>
      </c>
      <c r="K70" s="9" t="s">
        <v>1184</v>
      </c>
    </row>
    <row r="71" spans="1:11" ht="11.25">
      <c r="A71" s="972"/>
      <c r="B71" s="972"/>
      <c r="C71" s="972"/>
      <c r="D71" s="177">
        <f>+A71</f>
        <v>0</v>
      </c>
      <c r="E71" s="975"/>
      <c r="F71" s="975"/>
      <c r="G71" s="975"/>
      <c r="H71" s="975"/>
      <c r="I71" s="975"/>
      <c r="J71" s="975"/>
      <c r="K71" s="975"/>
    </row>
    <row r="72" spans="1:11" ht="11.25">
      <c r="A72" s="13"/>
      <c r="B72" s="13"/>
      <c r="C72" s="13"/>
      <c r="D72" s="177">
        <f aca="true" t="shared" si="0" ref="D72:D135">+A72</f>
        <v>0</v>
      </c>
      <c r="E72" s="19"/>
      <c r="F72" s="19"/>
      <c r="G72" s="19"/>
      <c r="H72" s="19"/>
      <c r="I72" s="19"/>
      <c r="J72" s="19"/>
      <c r="K72" s="19"/>
    </row>
    <row r="73" spans="1:11" ht="11.25">
      <c r="A73" s="13"/>
      <c r="B73" s="13"/>
      <c r="C73" s="13"/>
      <c r="D73" s="177">
        <f t="shared" si="0"/>
        <v>0</v>
      </c>
      <c r="E73" s="19"/>
      <c r="F73" s="19"/>
      <c r="G73" s="19"/>
      <c r="H73" s="19"/>
      <c r="I73" s="19"/>
      <c r="J73" s="19"/>
      <c r="K73" s="19"/>
    </row>
    <row r="74" spans="1:11" ht="11.25">
      <c r="A74" s="13"/>
      <c r="B74" s="13"/>
      <c r="C74" s="13"/>
      <c r="D74" s="177">
        <f t="shared" si="0"/>
        <v>0</v>
      </c>
      <c r="E74" s="19"/>
      <c r="F74" s="19"/>
      <c r="G74" s="19"/>
      <c r="H74" s="19"/>
      <c r="I74" s="19"/>
      <c r="J74" s="19"/>
      <c r="K74" s="19"/>
    </row>
    <row r="75" spans="1:11" ht="11.25">
      <c r="A75" s="13"/>
      <c r="B75" s="13"/>
      <c r="C75" s="13"/>
      <c r="D75" s="177">
        <f t="shared" si="0"/>
        <v>0</v>
      </c>
      <c r="E75" s="19"/>
      <c r="F75" s="19"/>
      <c r="G75" s="19"/>
      <c r="H75" s="19"/>
      <c r="I75" s="19"/>
      <c r="J75" s="19"/>
      <c r="K75" s="19"/>
    </row>
    <row r="76" spans="1:11" ht="11.25">
      <c r="A76" s="13"/>
      <c r="B76" s="13"/>
      <c r="C76" s="13"/>
      <c r="D76" s="177">
        <f t="shared" si="0"/>
        <v>0</v>
      </c>
      <c r="E76" s="19"/>
      <c r="F76" s="19"/>
      <c r="G76" s="19"/>
      <c r="H76" s="19"/>
      <c r="I76" s="19"/>
      <c r="J76" s="19"/>
      <c r="K76" s="19"/>
    </row>
    <row r="77" spans="1:11" ht="11.25">
      <c r="A77" s="13"/>
      <c r="B77" s="13"/>
      <c r="C77" s="13"/>
      <c r="D77" s="177">
        <f t="shared" si="0"/>
        <v>0</v>
      </c>
      <c r="E77" s="19"/>
      <c r="F77" s="19"/>
      <c r="G77" s="19"/>
      <c r="H77" s="19"/>
      <c r="I77" s="19"/>
      <c r="J77" s="19"/>
      <c r="K77" s="19"/>
    </row>
    <row r="78" spans="1:11" ht="11.25">
      <c r="A78" s="13"/>
      <c r="B78" s="13"/>
      <c r="C78" s="13"/>
      <c r="D78" s="177">
        <f t="shared" si="0"/>
        <v>0</v>
      </c>
      <c r="E78" s="19"/>
      <c r="F78" s="19"/>
      <c r="G78" s="19"/>
      <c r="H78" s="19"/>
      <c r="I78" s="19"/>
      <c r="J78" s="19"/>
      <c r="K78" s="19"/>
    </row>
    <row r="79" spans="1:11" ht="11.25">
      <c r="A79" s="13"/>
      <c r="B79" s="13"/>
      <c r="C79" s="13"/>
      <c r="D79" s="177">
        <f t="shared" si="0"/>
        <v>0</v>
      </c>
      <c r="E79" s="19"/>
      <c r="F79" s="19"/>
      <c r="G79" s="19"/>
      <c r="H79" s="19"/>
      <c r="I79" s="19"/>
      <c r="J79" s="19"/>
      <c r="K79" s="19"/>
    </row>
    <row r="80" spans="1:11" ht="11.25">
      <c r="A80" s="13"/>
      <c r="B80" s="13"/>
      <c r="C80" s="13"/>
      <c r="D80" s="177">
        <f t="shared" si="0"/>
        <v>0</v>
      </c>
      <c r="E80" s="19"/>
      <c r="F80" s="19"/>
      <c r="G80" s="19"/>
      <c r="H80" s="19"/>
      <c r="I80" s="19"/>
      <c r="J80" s="19"/>
      <c r="K80" s="19"/>
    </row>
    <row r="81" spans="1:11" ht="11.25">
      <c r="A81" s="13"/>
      <c r="B81" s="13"/>
      <c r="C81" s="13"/>
      <c r="D81" s="177">
        <f t="shared" si="0"/>
        <v>0</v>
      </c>
      <c r="E81" s="19"/>
      <c r="F81" s="19"/>
      <c r="G81" s="19"/>
      <c r="H81" s="19"/>
      <c r="I81" s="19"/>
      <c r="J81" s="19"/>
      <c r="K81" s="19"/>
    </row>
    <row r="82" spans="1:11" ht="11.25">
      <c r="A82" s="13"/>
      <c r="B82" s="13"/>
      <c r="C82" s="13"/>
      <c r="D82" s="177">
        <f t="shared" si="0"/>
        <v>0</v>
      </c>
      <c r="E82" s="19"/>
      <c r="F82" s="19"/>
      <c r="G82" s="19"/>
      <c r="H82" s="19"/>
      <c r="I82" s="19"/>
      <c r="J82" s="19"/>
      <c r="K82" s="19"/>
    </row>
    <row r="83" spans="1:11" ht="11.25">
      <c r="A83" s="13"/>
      <c r="B83" s="13"/>
      <c r="C83" s="13"/>
      <c r="D83" s="177">
        <f t="shared" si="0"/>
        <v>0</v>
      </c>
      <c r="E83" s="19"/>
      <c r="F83" s="19"/>
      <c r="G83" s="19"/>
      <c r="H83" s="19"/>
      <c r="I83" s="19"/>
      <c r="J83" s="19"/>
      <c r="K83" s="19"/>
    </row>
    <row r="84" spans="1:11" ht="11.25">
      <c r="A84" s="13"/>
      <c r="B84" s="13"/>
      <c r="C84" s="13"/>
      <c r="D84" s="177">
        <f t="shared" si="0"/>
        <v>0</v>
      </c>
      <c r="E84" s="19"/>
      <c r="F84" s="19"/>
      <c r="G84" s="19"/>
      <c r="H84" s="19"/>
      <c r="I84" s="19"/>
      <c r="J84" s="19"/>
      <c r="K84" s="19"/>
    </row>
    <row r="85" spans="1:11" ht="11.25">
      <c r="A85" s="13"/>
      <c r="B85" s="13"/>
      <c r="C85" s="13"/>
      <c r="D85" s="177">
        <f t="shared" si="0"/>
        <v>0</v>
      </c>
      <c r="E85" s="19"/>
      <c r="F85" s="19"/>
      <c r="G85" s="19"/>
      <c r="H85" s="19"/>
      <c r="I85" s="19"/>
      <c r="J85" s="19"/>
      <c r="K85" s="19"/>
    </row>
    <row r="86" spans="1:11" ht="11.25">
      <c r="A86" s="13"/>
      <c r="B86" s="13"/>
      <c r="C86" s="13"/>
      <c r="D86" s="177">
        <f t="shared" si="0"/>
        <v>0</v>
      </c>
      <c r="E86" s="19"/>
      <c r="F86" s="19"/>
      <c r="G86" s="19"/>
      <c r="H86" s="19"/>
      <c r="I86" s="19"/>
      <c r="J86" s="19"/>
      <c r="K86" s="19"/>
    </row>
    <row r="87" spans="1:11" ht="11.25">
      <c r="A87" s="13"/>
      <c r="B87" s="13"/>
      <c r="C87" s="13"/>
      <c r="D87" s="177">
        <f t="shared" si="0"/>
        <v>0</v>
      </c>
      <c r="E87" s="19"/>
      <c r="F87" s="19"/>
      <c r="G87" s="19"/>
      <c r="H87" s="19"/>
      <c r="I87" s="19"/>
      <c r="J87" s="19"/>
      <c r="K87" s="19"/>
    </row>
    <row r="88" spans="1:11" ht="11.25">
      <c r="A88" s="13"/>
      <c r="B88" s="13"/>
      <c r="C88" s="13"/>
      <c r="D88" s="177">
        <f t="shared" si="0"/>
        <v>0</v>
      </c>
      <c r="E88" s="19"/>
      <c r="F88" s="19"/>
      <c r="G88" s="19"/>
      <c r="H88" s="19"/>
      <c r="I88" s="19"/>
      <c r="J88" s="19"/>
      <c r="K88" s="19"/>
    </row>
    <row r="89" spans="1:11" ht="11.25">
      <c r="A89" s="13"/>
      <c r="B89" s="13"/>
      <c r="C89" s="13"/>
      <c r="D89" s="177">
        <f t="shared" si="0"/>
        <v>0</v>
      </c>
      <c r="E89" s="19"/>
      <c r="F89" s="19"/>
      <c r="G89" s="19"/>
      <c r="H89" s="19"/>
      <c r="I89" s="19"/>
      <c r="J89" s="19"/>
      <c r="K89" s="19"/>
    </row>
    <row r="90" spans="1:11" ht="11.25">
      <c r="A90" s="13"/>
      <c r="B90" s="13"/>
      <c r="C90" s="13"/>
      <c r="D90" s="177">
        <f t="shared" si="0"/>
        <v>0</v>
      </c>
      <c r="E90" s="19"/>
      <c r="F90" s="19"/>
      <c r="G90" s="19"/>
      <c r="H90" s="19"/>
      <c r="I90" s="19"/>
      <c r="J90" s="19"/>
      <c r="K90" s="19"/>
    </row>
    <row r="91" spans="1:11" ht="11.25">
      <c r="A91" s="13"/>
      <c r="B91" s="13"/>
      <c r="C91" s="13"/>
      <c r="D91" s="177">
        <f t="shared" si="0"/>
        <v>0</v>
      </c>
      <c r="E91" s="19"/>
      <c r="F91" s="19"/>
      <c r="G91" s="19"/>
      <c r="H91" s="19"/>
      <c r="I91" s="19"/>
      <c r="J91" s="19"/>
      <c r="K91" s="19"/>
    </row>
    <row r="92" spans="1:11" ht="11.25">
      <c r="A92" s="13"/>
      <c r="B92" s="13"/>
      <c r="C92" s="13"/>
      <c r="D92" s="177">
        <f t="shared" si="0"/>
        <v>0</v>
      </c>
      <c r="E92" s="19"/>
      <c r="F92" s="19"/>
      <c r="G92" s="19"/>
      <c r="H92" s="19"/>
      <c r="I92" s="19"/>
      <c r="J92" s="19"/>
      <c r="K92" s="19"/>
    </row>
    <row r="93" spans="1:11" ht="11.25">
      <c r="A93" s="13"/>
      <c r="B93" s="13"/>
      <c r="C93" s="13"/>
      <c r="D93" s="177">
        <f t="shared" si="0"/>
        <v>0</v>
      </c>
      <c r="E93" s="19"/>
      <c r="F93" s="19"/>
      <c r="G93" s="19"/>
      <c r="H93" s="19"/>
      <c r="I93" s="19"/>
      <c r="J93" s="19"/>
      <c r="K93" s="19"/>
    </row>
    <row r="94" spans="1:11" ht="11.25">
      <c r="A94" s="13"/>
      <c r="B94" s="13"/>
      <c r="C94" s="13"/>
      <c r="D94" s="177">
        <f t="shared" si="0"/>
        <v>0</v>
      </c>
      <c r="E94" s="19"/>
      <c r="F94" s="19"/>
      <c r="G94" s="19"/>
      <c r="H94" s="19"/>
      <c r="I94" s="19"/>
      <c r="J94" s="19"/>
      <c r="K94" s="19"/>
    </row>
    <row r="95" spans="1:11" ht="11.25">
      <c r="A95" s="13"/>
      <c r="B95" s="13"/>
      <c r="C95" s="13"/>
      <c r="D95" s="177">
        <f t="shared" si="0"/>
        <v>0</v>
      </c>
      <c r="E95" s="19"/>
      <c r="F95" s="19"/>
      <c r="G95" s="19"/>
      <c r="H95" s="19"/>
      <c r="I95" s="19"/>
      <c r="J95" s="19"/>
      <c r="K95" s="19"/>
    </row>
    <row r="96" spans="1:11" ht="11.25">
      <c r="A96" s="13"/>
      <c r="B96" s="13"/>
      <c r="C96" s="13"/>
      <c r="D96" s="177">
        <f t="shared" si="0"/>
        <v>0</v>
      </c>
      <c r="E96" s="19"/>
      <c r="F96" s="19"/>
      <c r="G96" s="19"/>
      <c r="H96" s="19"/>
      <c r="I96" s="19"/>
      <c r="J96" s="19"/>
      <c r="K96" s="19"/>
    </row>
    <row r="97" spans="1:11" ht="11.25">
      <c r="A97" s="13"/>
      <c r="B97" s="13"/>
      <c r="C97" s="13"/>
      <c r="D97" s="177">
        <f t="shared" si="0"/>
        <v>0</v>
      </c>
      <c r="E97" s="19"/>
      <c r="F97" s="19"/>
      <c r="G97" s="19"/>
      <c r="H97" s="19"/>
      <c r="I97" s="19"/>
      <c r="J97" s="19"/>
      <c r="K97" s="19"/>
    </row>
    <row r="98" spans="1:11" ht="11.25">
      <c r="A98" s="13"/>
      <c r="B98" s="13"/>
      <c r="C98" s="13"/>
      <c r="D98" s="177">
        <f t="shared" si="0"/>
        <v>0</v>
      </c>
      <c r="E98" s="19"/>
      <c r="F98" s="19"/>
      <c r="G98" s="19"/>
      <c r="H98" s="19"/>
      <c r="I98" s="19"/>
      <c r="J98" s="19"/>
      <c r="K98" s="19"/>
    </row>
    <row r="99" spans="1:11" ht="11.25">
      <c r="A99" s="13"/>
      <c r="B99" s="13"/>
      <c r="C99" s="13"/>
      <c r="D99" s="177">
        <f t="shared" si="0"/>
        <v>0</v>
      </c>
      <c r="E99" s="19"/>
      <c r="F99" s="19"/>
      <c r="G99" s="19"/>
      <c r="H99" s="19"/>
      <c r="I99" s="19"/>
      <c r="J99" s="19"/>
      <c r="K99" s="19"/>
    </row>
    <row r="100" spans="1:11" ht="11.25">
      <c r="A100" s="13"/>
      <c r="B100" s="13"/>
      <c r="C100" s="13"/>
      <c r="D100" s="177">
        <f t="shared" si="0"/>
        <v>0</v>
      </c>
      <c r="E100" s="19"/>
      <c r="F100" s="19"/>
      <c r="G100" s="19"/>
      <c r="H100" s="19"/>
      <c r="I100" s="19"/>
      <c r="J100" s="19"/>
      <c r="K100" s="19"/>
    </row>
    <row r="101" spans="1:11" ht="11.25">
      <c r="A101" s="13"/>
      <c r="B101" s="13"/>
      <c r="C101" s="13"/>
      <c r="D101" s="177">
        <f t="shared" si="0"/>
        <v>0</v>
      </c>
      <c r="E101" s="19"/>
      <c r="F101" s="19"/>
      <c r="G101" s="19"/>
      <c r="H101" s="19"/>
      <c r="I101" s="19"/>
      <c r="J101" s="19"/>
      <c r="K101" s="19"/>
    </row>
    <row r="102" spans="1:11" ht="11.25">
      <c r="A102" s="13"/>
      <c r="B102" s="13"/>
      <c r="C102" s="13"/>
      <c r="D102" s="177">
        <f t="shared" si="0"/>
        <v>0</v>
      </c>
      <c r="E102" s="19"/>
      <c r="F102" s="19"/>
      <c r="G102" s="19"/>
      <c r="H102" s="19"/>
      <c r="I102" s="19"/>
      <c r="J102" s="19"/>
      <c r="K102" s="19"/>
    </row>
    <row r="103" spans="1:11" ht="11.25">
      <c r="A103" s="13"/>
      <c r="B103" s="13"/>
      <c r="C103" s="13"/>
      <c r="D103" s="177">
        <f t="shared" si="0"/>
        <v>0</v>
      </c>
      <c r="E103" s="19"/>
      <c r="F103" s="19"/>
      <c r="G103" s="19"/>
      <c r="H103" s="19"/>
      <c r="I103" s="19"/>
      <c r="J103" s="19"/>
      <c r="K103" s="19"/>
    </row>
    <row r="104" spans="1:11" ht="11.25">
      <c r="A104" s="13"/>
      <c r="B104" s="13"/>
      <c r="C104" s="13"/>
      <c r="D104" s="177">
        <f t="shared" si="0"/>
        <v>0</v>
      </c>
      <c r="E104" s="19"/>
      <c r="F104" s="19"/>
      <c r="G104" s="19"/>
      <c r="H104" s="19"/>
      <c r="I104" s="19"/>
      <c r="J104" s="19"/>
      <c r="K104" s="19"/>
    </row>
    <row r="105" spans="1:11" ht="11.25">
      <c r="A105" s="13"/>
      <c r="B105" s="13"/>
      <c r="C105" s="13"/>
      <c r="D105" s="177">
        <f t="shared" si="0"/>
        <v>0</v>
      </c>
      <c r="E105" s="19"/>
      <c r="F105" s="19"/>
      <c r="G105" s="19"/>
      <c r="H105" s="19"/>
      <c r="I105" s="19"/>
      <c r="J105" s="19"/>
      <c r="K105" s="19"/>
    </row>
    <row r="106" spans="1:11" ht="11.25">
      <c r="A106" s="13"/>
      <c r="B106" s="13"/>
      <c r="C106" s="13"/>
      <c r="D106" s="177">
        <f t="shared" si="0"/>
        <v>0</v>
      </c>
      <c r="E106" s="19"/>
      <c r="F106" s="19"/>
      <c r="G106" s="19"/>
      <c r="H106" s="19"/>
      <c r="I106" s="19"/>
      <c r="J106" s="19"/>
      <c r="K106" s="19"/>
    </row>
    <row r="107" spans="1:11" ht="11.25">
      <c r="A107" s="13"/>
      <c r="B107" s="13"/>
      <c r="C107" s="13"/>
      <c r="D107" s="177">
        <f t="shared" si="0"/>
        <v>0</v>
      </c>
      <c r="E107" s="19"/>
      <c r="F107" s="19"/>
      <c r="G107" s="19"/>
      <c r="H107" s="19"/>
      <c r="I107" s="19"/>
      <c r="J107" s="19"/>
      <c r="K107" s="19"/>
    </row>
    <row r="108" spans="1:11" ht="11.25">
      <c r="A108" s="13"/>
      <c r="B108" s="13"/>
      <c r="C108" s="13"/>
      <c r="D108" s="177">
        <f t="shared" si="0"/>
        <v>0</v>
      </c>
      <c r="E108" s="19"/>
      <c r="F108" s="19"/>
      <c r="G108" s="19"/>
      <c r="H108" s="19"/>
      <c r="I108" s="19"/>
      <c r="J108" s="19"/>
      <c r="K108" s="19"/>
    </row>
    <row r="109" spans="1:11" ht="11.25">
      <c r="A109" s="13"/>
      <c r="B109" s="13"/>
      <c r="C109" s="13"/>
      <c r="D109" s="177">
        <f t="shared" si="0"/>
        <v>0</v>
      </c>
      <c r="E109" s="19"/>
      <c r="F109" s="19"/>
      <c r="G109" s="19"/>
      <c r="H109" s="19"/>
      <c r="I109" s="19"/>
      <c r="J109" s="19"/>
      <c r="K109" s="19"/>
    </row>
    <row r="110" spans="1:11" ht="11.25">
      <c r="A110" s="13"/>
      <c r="B110" s="13"/>
      <c r="C110" s="13"/>
      <c r="D110" s="177">
        <f t="shared" si="0"/>
        <v>0</v>
      </c>
      <c r="E110" s="19"/>
      <c r="F110" s="19"/>
      <c r="G110" s="19"/>
      <c r="H110" s="19"/>
      <c r="I110" s="19"/>
      <c r="J110" s="19"/>
      <c r="K110" s="19"/>
    </row>
    <row r="111" spans="1:11" ht="11.25">
      <c r="A111" s="13"/>
      <c r="B111" s="13"/>
      <c r="C111" s="13"/>
      <c r="D111" s="177">
        <f t="shared" si="0"/>
        <v>0</v>
      </c>
      <c r="E111" s="19"/>
      <c r="F111" s="19"/>
      <c r="G111" s="19"/>
      <c r="H111" s="19"/>
      <c r="I111" s="19"/>
      <c r="J111" s="19"/>
      <c r="K111" s="19"/>
    </row>
    <row r="112" spans="1:11" ht="11.25">
      <c r="A112" s="13"/>
      <c r="B112" s="13"/>
      <c r="C112" s="13"/>
      <c r="D112" s="177">
        <f t="shared" si="0"/>
        <v>0</v>
      </c>
      <c r="E112" s="19"/>
      <c r="F112" s="19"/>
      <c r="G112" s="19"/>
      <c r="H112" s="19"/>
      <c r="I112" s="19"/>
      <c r="J112" s="19"/>
      <c r="K112" s="19"/>
    </row>
    <row r="113" spans="1:11" ht="11.25">
      <c r="A113" s="13"/>
      <c r="B113" s="13"/>
      <c r="C113" s="13"/>
      <c r="D113" s="177">
        <f t="shared" si="0"/>
        <v>0</v>
      </c>
      <c r="E113" s="19"/>
      <c r="F113" s="19"/>
      <c r="G113" s="19"/>
      <c r="H113" s="19"/>
      <c r="I113" s="19"/>
      <c r="J113" s="19"/>
      <c r="K113" s="19"/>
    </row>
    <row r="114" spans="1:11" ht="11.25">
      <c r="A114" s="13"/>
      <c r="B114" s="13"/>
      <c r="C114" s="13"/>
      <c r="D114" s="177">
        <f t="shared" si="0"/>
        <v>0</v>
      </c>
      <c r="E114" s="19"/>
      <c r="F114" s="19"/>
      <c r="G114" s="19"/>
      <c r="H114" s="19"/>
      <c r="I114" s="19"/>
      <c r="J114" s="19"/>
      <c r="K114" s="19"/>
    </row>
    <row r="115" spans="1:11" ht="11.25">
      <c r="A115" s="13"/>
      <c r="B115" s="13"/>
      <c r="C115" s="13"/>
      <c r="D115" s="177">
        <f t="shared" si="0"/>
        <v>0</v>
      </c>
      <c r="E115" s="19"/>
      <c r="F115" s="19"/>
      <c r="G115" s="19"/>
      <c r="H115" s="19"/>
      <c r="I115" s="19"/>
      <c r="J115" s="19"/>
      <c r="K115" s="19"/>
    </row>
    <row r="116" spans="1:11" ht="11.25">
      <c r="A116" s="13"/>
      <c r="B116" s="13"/>
      <c r="C116" s="13"/>
      <c r="D116" s="177">
        <f t="shared" si="0"/>
        <v>0</v>
      </c>
      <c r="E116" s="19"/>
      <c r="F116" s="19"/>
      <c r="G116" s="19"/>
      <c r="H116" s="19"/>
      <c r="I116" s="19"/>
      <c r="J116" s="19"/>
      <c r="K116" s="19"/>
    </row>
    <row r="117" spans="1:11" ht="11.25">
      <c r="A117" s="13"/>
      <c r="B117" s="13"/>
      <c r="C117" s="13"/>
      <c r="D117" s="177">
        <f t="shared" si="0"/>
        <v>0</v>
      </c>
      <c r="E117" s="19"/>
      <c r="F117" s="19"/>
      <c r="G117" s="19"/>
      <c r="H117" s="19"/>
      <c r="I117" s="19"/>
      <c r="J117" s="19"/>
      <c r="K117" s="19"/>
    </row>
    <row r="118" spans="1:11" ht="11.25">
      <c r="A118" s="13"/>
      <c r="B118" s="13"/>
      <c r="C118" s="13"/>
      <c r="D118" s="177">
        <f t="shared" si="0"/>
        <v>0</v>
      </c>
      <c r="E118" s="19"/>
      <c r="F118" s="19"/>
      <c r="G118" s="19"/>
      <c r="H118" s="19"/>
      <c r="I118" s="19"/>
      <c r="J118" s="19"/>
      <c r="K118" s="19"/>
    </row>
    <row r="119" spans="1:11" ht="11.25">
      <c r="A119" s="13"/>
      <c r="B119" s="13"/>
      <c r="C119" s="13"/>
      <c r="D119" s="177">
        <f t="shared" si="0"/>
        <v>0</v>
      </c>
      <c r="E119" s="19"/>
      <c r="F119" s="19"/>
      <c r="G119" s="19"/>
      <c r="H119" s="19"/>
      <c r="I119" s="19"/>
      <c r="J119" s="19"/>
      <c r="K119" s="19"/>
    </row>
    <row r="120" spans="1:11" ht="11.25">
      <c r="A120" s="13"/>
      <c r="B120" s="13"/>
      <c r="C120" s="13"/>
      <c r="D120" s="177">
        <f t="shared" si="0"/>
        <v>0</v>
      </c>
      <c r="E120" s="19"/>
      <c r="F120" s="19"/>
      <c r="G120" s="19"/>
      <c r="H120" s="19"/>
      <c r="I120" s="19"/>
      <c r="J120" s="19"/>
      <c r="K120" s="19"/>
    </row>
    <row r="121" spans="1:11" ht="11.25">
      <c r="A121" s="13"/>
      <c r="B121" s="13"/>
      <c r="C121" s="13"/>
      <c r="D121" s="177">
        <f t="shared" si="0"/>
        <v>0</v>
      </c>
      <c r="E121" s="19"/>
      <c r="F121" s="19"/>
      <c r="G121" s="19"/>
      <c r="H121" s="19"/>
      <c r="I121" s="19"/>
      <c r="J121" s="19"/>
      <c r="K121" s="19"/>
    </row>
    <row r="122" spans="1:11" ht="11.25">
      <c r="A122" s="13"/>
      <c r="B122" s="13"/>
      <c r="C122" s="13"/>
      <c r="D122" s="177">
        <f t="shared" si="0"/>
        <v>0</v>
      </c>
      <c r="E122" s="19"/>
      <c r="F122" s="19"/>
      <c r="G122" s="19"/>
      <c r="H122" s="19"/>
      <c r="I122" s="19"/>
      <c r="J122" s="19"/>
      <c r="K122" s="19"/>
    </row>
    <row r="123" spans="1:11" ht="11.25">
      <c r="A123" s="13"/>
      <c r="B123" s="13"/>
      <c r="C123" s="13"/>
      <c r="D123" s="177">
        <f t="shared" si="0"/>
        <v>0</v>
      </c>
      <c r="E123" s="19"/>
      <c r="F123" s="19"/>
      <c r="G123" s="19"/>
      <c r="H123" s="19"/>
      <c r="I123" s="19"/>
      <c r="J123" s="19"/>
      <c r="K123" s="19"/>
    </row>
    <row r="124" spans="1:11" ht="11.25">
      <c r="A124" s="13"/>
      <c r="B124" s="13"/>
      <c r="C124" s="13"/>
      <c r="D124" s="177">
        <f t="shared" si="0"/>
        <v>0</v>
      </c>
      <c r="E124" s="19"/>
      <c r="F124" s="19"/>
      <c r="G124" s="19"/>
      <c r="H124" s="19"/>
      <c r="I124" s="19"/>
      <c r="J124" s="19"/>
      <c r="K124" s="19"/>
    </row>
    <row r="125" spans="1:11" ht="11.25">
      <c r="A125" s="13"/>
      <c r="B125" s="13"/>
      <c r="C125" s="13"/>
      <c r="D125" s="177">
        <f t="shared" si="0"/>
        <v>0</v>
      </c>
      <c r="E125" s="19"/>
      <c r="F125" s="19"/>
      <c r="G125" s="19"/>
      <c r="H125" s="19"/>
      <c r="I125" s="19"/>
      <c r="J125" s="19"/>
      <c r="K125" s="19"/>
    </row>
    <row r="126" spans="1:11" ht="11.25">
      <c r="A126" s="13"/>
      <c r="B126" s="13"/>
      <c r="C126" s="13"/>
      <c r="D126" s="177">
        <f t="shared" si="0"/>
        <v>0</v>
      </c>
      <c r="E126" s="19"/>
      <c r="F126" s="19"/>
      <c r="G126" s="19"/>
      <c r="H126" s="19"/>
      <c r="I126" s="19"/>
      <c r="J126" s="19"/>
      <c r="K126" s="19"/>
    </row>
    <row r="127" spans="1:11" ht="11.25">
      <c r="A127" s="13"/>
      <c r="B127" s="13"/>
      <c r="C127" s="13"/>
      <c r="D127" s="177">
        <f t="shared" si="0"/>
        <v>0</v>
      </c>
      <c r="E127" s="19"/>
      <c r="F127" s="19"/>
      <c r="G127" s="19"/>
      <c r="H127" s="19"/>
      <c r="I127" s="19"/>
      <c r="J127" s="19"/>
      <c r="K127" s="19"/>
    </row>
    <row r="128" spans="1:11" ht="11.25">
      <c r="A128" s="13"/>
      <c r="B128" s="13"/>
      <c r="C128" s="13"/>
      <c r="D128" s="177">
        <f t="shared" si="0"/>
        <v>0</v>
      </c>
      <c r="E128" s="19"/>
      <c r="F128" s="19"/>
      <c r="G128" s="19"/>
      <c r="H128" s="19"/>
      <c r="I128" s="19"/>
      <c r="J128" s="19"/>
      <c r="K128" s="19"/>
    </row>
    <row r="129" spans="1:11" ht="11.25">
      <c r="A129" s="13"/>
      <c r="B129" s="13"/>
      <c r="C129" s="13"/>
      <c r="D129" s="177">
        <f t="shared" si="0"/>
        <v>0</v>
      </c>
      <c r="E129" s="19"/>
      <c r="F129" s="19"/>
      <c r="G129" s="19"/>
      <c r="H129" s="19"/>
      <c r="I129" s="19"/>
      <c r="J129" s="19"/>
      <c r="K129" s="19"/>
    </row>
    <row r="130" spans="1:11" ht="11.25">
      <c r="A130" s="13"/>
      <c r="B130" s="13"/>
      <c r="C130" s="13"/>
      <c r="D130" s="177">
        <f t="shared" si="0"/>
        <v>0</v>
      </c>
      <c r="E130" s="19"/>
      <c r="F130" s="19"/>
      <c r="G130" s="19"/>
      <c r="H130" s="19"/>
      <c r="I130" s="19"/>
      <c r="J130" s="19"/>
      <c r="K130" s="19"/>
    </row>
    <row r="131" spans="1:11" ht="11.25">
      <c r="A131" s="13"/>
      <c r="B131" s="13"/>
      <c r="C131" s="13"/>
      <c r="D131" s="177">
        <f t="shared" si="0"/>
        <v>0</v>
      </c>
      <c r="E131" s="19"/>
      <c r="F131" s="19"/>
      <c r="G131" s="19"/>
      <c r="H131" s="19"/>
      <c r="I131" s="19"/>
      <c r="J131" s="19"/>
      <c r="K131" s="19"/>
    </row>
    <row r="132" spans="1:11" ht="11.25">
      <c r="A132" s="13"/>
      <c r="B132" s="13"/>
      <c r="C132" s="13"/>
      <c r="D132" s="177">
        <f t="shared" si="0"/>
        <v>0</v>
      </c>
      <c r="E132" s="19"/>
      <c r="F132" s="19"/>
      <c r="G132" s="19"/>
      <c r="H132" s="19"/>
      <c r="I132" s="19"/>
      <c r="J132" s="19"/>
      <c r="K132" s="19"/>
    </row>
    <row r="133" spans="1:11" ht="11.25">
      <c r="A133" s="13"/>
      <c r="B133" s="13"/>
      <c r="C133" s="13"/>
      <c r="D133" s="177">
        <f t="shared" si="0"/>
        <v>0</v>
      </c>
      <c r="E133" s="19"/>
      <c r="F133" s="19"/>
      <c r="G133" s="19"/>
      <c r="H133" s="19"/>
      <c r="I133" s="19"/>
      <c r="J133" s="19"/>
      <c r="K133" s="19"/>
    </row>
    <row r="134" spans="1:11" ht="11.25">
      <c r="A134" s="13"/>
      <c r="B134" s="13"/>
      <c r="C134" s="13"/>
      <c r="D134" s="177">
        <f t="shared" si="0"/>
        <v>0</v>
      </c>
      <c r="E134" s="19"/>
      <c r="F134" s="19"/>
      <c r="G134" s="19"/>
      <c r="H134" s="19"/>
      <c r="I134" s="19"/>
      <c r="J134" s="19"/>
      <c r="K134" s="19"/>
    </row>
    <row r="135" spans="1:11" ht="11.25">
      <c r="A135" s="13"/>
      <c r="B135" s="13"/>
      <c r="C135" s="13"/>
      <c r="D135" s="177">
        <f t="shared" si="0"/>
        <v>0</v>
      </c>
      <c r="E135" s="19"/>
      <c r="F135" s="19"/>
      <c r="G135" s="19"/>
      <c r="H135" s="19"/>
      <c r="I135" s="19"/>
      <c r="J135" s="19"/>
      <c r="K135" s="19"/>
    </row>
    <row r="136" spans="1:11" ht="11.25">
      <c r="A136" s="13"/>
      <c r="B136" s="13"/>
      <c r="C136" s="13"/>
      <c r="D136" s="177">
        <f aca="true" t="shared" si="1" ref="D136:D146">+A136</f>
        <v>0</v>
      </c>
      <c r="E136" s="19"/>
      <c r="F136" s="19"/>
      <c r="G136" s="19"/>
      <c r="H136" s="19"/>
      <c r="I136" s="19"/>
      <c r="J136" s="19"/>
      <c r="K136" s="19"/>
    </row>
    <row r="137" spans="1:11" ht="11.25">
      <c r="A137" s="13"/>
      <c r="B137" s="13"/>
      <c r="C137" s="13"/>
      <c r="D137" s="177">
        <f t="shared" si="1"/>
        <v>0</v>
      </c>
      <c r="E137" s="19"/>
      <c r="F137" s="19"/>
      <c r="G137" s="19"/>
      <c r="H137" s="19"/>
      <c r="I137" s="19"/>
      <c r="J137" s="19"/>
      <c r="K137" s="19"/>
    </row>
    <row r="138" spans="1:11" ht="11.25">
      <c r="A138" s="13"/>
      <c r="B138" s="13"/>
      <c r="C138" s="13"/>
      <c r="D138" s="177">
        <f t="shared" si="1"/>
        <v>0</v>
      </c>
      <c r="E138" s="19"/>
      <c r="F138" s="19"/>
      <c r="G138" s="19"/>
      <c r="H138" s="19"/>
      <c r="I138" s="19"/>
      <c r="J138" s="19"/>
      <c r="K138" s="19"/>
    </row>
    <row r="139" spans="1:11" ht="11.25">
      <c r="A139" s="13"/>
      <c r="B139" s="13"/>
      <c r="C139" s="13"/>
      <c r="D139" s="177">
        <f t="shared" si="1"/>
        <v>0</v>
      </c>
      <c r="E139" s="19"/>
      <c r="F139" s="19"/>
      <c r="G139" s="19"/>
      <c r="H139" s="19"/>
      <c r="I139" s="19"/>
      <c r="J139" s="19"/>
      <c r="K139" s="19"/>
    </row>
    <row r="140" spans="1:11" ht="11.25">
      <c r="A140" s="13"/>
      <c r="B140" s="13"/>
      <c r="C140" s="13"/>
      <c r="D140" s="177">
        <f t="shared" si="1"/>
        <v>0</v>
      </c>
      <c r="E140" s="19"/>
      <c r="F140" s="19"/>
      <c r="G140" s="19"/>
      <c r="H140" s="19"/>
      <c r="I140" s="19"/>
      <c r="J140" s="19"/>
      <c r="K140" s="19"/>
    </row>
    <row r="141" spans="1:11" ht="11.25">
      <c r="A141" s="13"/>
      <c r="B141" s="13"/>
      <c r="C141" s="13"/>
      <c r="D141" s="177">
        <f t="shared" si="1"/>
        <v>0</v>
      </c>
      <c r="E141" s="19"/>
      <c r="F141" s="19"/>
      <c r="G141" s="19"/>
      <c r="H141" s="19"/>
      <c r="I141" s="19"/>
      <c r="J141" s="19"/>
      <c r="K141" s="19"/>
    </row>
    <row r="142" spans="1:11" ht="11.25">
      <c r="A142" s="13"/>
      <c r="B142" s="13"/>
      <c r="C142" s="13"/>
      <c r="D142" s="177">
        <f t="shared" si="1"/>
        <v>0</v>
      </c>
      <c r="E142" s="19"/>
      <c r="F142" s="19"/>
      <c r="G142" s="19"/>
      <c r="H142" s="19"/>
      <c r="I142" s="19"/>
      <c r="J142" s="19"/>
      <c r="K142" s="19"/>
    </row>
    <row r="143" spans="1:11" ht="11.25">
      <c r="A143" s="13"/>
      <c r="B143" s="13"/>
      <c r="C143" s="13"/>
      <c r="D143" s="177">
        <f t="shared" si="1"/>
        <v>0</v>
      </c>
      <c r="E143" s="19"/>
      <c r="F143" s="19"/>
      <c r="G143" s="19"/>
      <c r="H143" s="19"/>
      <c r="I143" s="19"/>
      <c r="J143" s="19"/>
      <c r="K143" s="19"/>
    </row>
    <row r="144" spans="1:11" ht="11.25">
      <c r="A144" s="13"/>
      <c r="B144" s="13"/>
      <c r="C144" s="13"/>
      <c r="D144" s="177">
        <f t="shared" si="1"/>
        <v>0</v>
      </c>
      <c r="E144" s="19"/>
      <c r="F144" s="19"/>
      <c r="G144" s="19"/>
      <c r="H144" s="19"/>
      <c r="I144" s="19"/>
      <c r="J144" s="19"/>
      <c r="K144" s="19"/>
    </row>
    <row r="145" spans="1:11" ht="11.25">
      <c r="A145" s="13"/>
      <c r="B145" s="13"/>
      <c r="C145" s="13"/>
      <c r="D145" s="177">
        <f t="shared" si="1"/>
        <v>0</v>
      </c>
      <c r="E145" s="19"/>
      <c r="F145" s="19"/>
      <c r="G145" s="19"/>
      <c r="H145" s="19"/>
      <c r="I145" s="19"/>
      <c r="J145" s="19"/>
      <c r="K145" s="19"/>
    </row>
    <row r="146" spans="1:11" ht="11.25">
      <c r="A146" s="13"/>
      <c r="B146" s="13"/>
      <c r="C146" s="13"/>
      <c r="D146" s="177">
        <f t="shared" si="1"/>
        <v>0</v>
      </c>
      <c r="E146" s="19"/>
      <c r="F146" s="19"/>
      <c r="G146" s="19"/>
      <c r="H146" s="19"/>
      <c r="I146" s="19"/>
      <c r="J146" s="19"/>
      <c r="K146" s="19"/>
    </row>
    <row r="149" ht="11.25">
      <c r="A149" s="32" t="s">
        <v>36</v>
      </c>
    </row>
    <row r="150" ht="11.25">
      <c r="A150" s="32" t="s">
        <v>683</v>
      </c>
    </row>
    <row r="151" ht="11.25">
      <c r="A151" s="975"/>
    </row>
    <row r="152" ht="11.25">
      <c r="A152" s="19"/>
    </row>
    <row r="153" ht="11.25">
      <c r="A153" s="19"/>
    </row>
    <row r="154" ht="11.25">
      <c r="A154" s="19"/>
    </row>
    <row r="155" ht="11.25">
      <c r="A155" s="19"/>
    </row>
    <row r="156" ht="11.25">
      <c r="A156" s="19"/>
    </row>
    <row r="157" ht="11.25">
      <c r="A157" s="19"/>
    </row>
    <row r="158" ht="11.25">
      <c r="A158" s="19"/>
    </row>
    <row r="159" ht="11.25">
      <c r="A159" s="19"/>
    </row>
    <row r="160" ht="11.25">
      <c r="A160" s="19"/>
    </row>
    <row r="161" ht="11.25">
      <c r="A161" s="19"/>
    </row>
    <row r="162" ht="11.25">
      <c r="A162" s="19"/>
    </row>
    <row r="163" ht="11.25">
      <c r="A163" s="19"/>
    </row>
    <row r="164" ht="11.25">
      <c r="A164" s="19"/>
    </row>
    <row r="165" ht="11.25">
      <c r="A165" s="19"/>
    </row>
    <row r="168" ht="11.25">
      <c r="A168" s="899" t="s">
        <v>37</v>
      </c>
    </row>
    <row r="169" ht="11.25">
      <c r="A169" s="900" t="s">
        <v>655</v>
      </c>
    </row>
    <row r="170" ht="11.25">
      <c r="A170" s="975"/>
    </row>
    <row r="171" ht="11.25">
      <c r="A171" s="19"/>
    </row>
    <row r="172" ht="11.25">
      <c r="A172" s="19"/>
    </row>
    <row r="173" ht="11.25">
      <c r="A173" s="19"/>
    </row>
    <row r="174" ht="11.25">
      <c r="A174" s="19"/>
    </row>
    <row r="175" ht="11.25">
      <c r="A175" s="19"/>
    </row>
    <row r="176" ht="11.25">
      <c r="A176" s="19"/>
    </row>
    <row r="177" ht="11.25">
      <c r="A177" s="19"/>
    </row>
    <row r="178" ht="11.25">
      <c r="A178" s="19"/>
    </row>
    <row r="179" ht="11.25">
      <c r="A179" s="19"/>
    </row>
    <row r="180" ht="11.25">
      <c r="A180" s="19"/>
    </row>
    <row r="181" ht="11.25">
      <c r="A181" s="19"/>
    </row>
    <row r="182" ht="11.25">
      <c r="A182" s="19"/>
    </row>
    <row r="183" ht="11.25">
      <c r="A183" s="19"/>
    </row>
    <row r="184" ht="11.25">
      <c r="A184" s="19"/>
    </row>
    <row r="185" ht="11.25">
      <c r="A185" s="19"/>
    </row>
    <row r="186" ht="11.25">
      <c r="A186" s="19"/>
    </row>
    <row r="187" ht="11.25">
      <c r="A187" s="19"/>
    </row>
    <row r="188" ht="11.25">
      <c r="A188" s="19"/>
    </row>
    <row r="189" ht="11.25">
      <c r="A189" s="19"/>
    </row>
    <row r="190" ht="11.25">
      <c r="A190" s="19"/>
    </row>
    <row r="191" ht="11.25">
      <c r="A191" s="19"/>
    </row>
    <row r="192" ht="11.25">
      <c r="A192" s="19"/>
    </row>
    <row r="193" ht="11.25">
      <c r="A193" s="19"/>
    </row>
    <row r="194" ht="11.25">
      <c r="A194" s="19"/>
    </row>
    <row r="195" ht="11.25">
      <c r="A195" s="19"/>
    </row>
    <row r="196" ht="11.25">
      <c r="A196" s="19"/>
    </row>
    <row r="197" ht="11.25">
      <c r="A197" s="19"/>
    </row>
    <row r="198" ht="11.25">
      <c r="A198" s="19"/>
    </row>
    <row r="199" ht="11.25">
      <c r="A199" s="19"/>
    </row>
    <row r="200" ht="11.25">
      <c r="A200" s="19"/>
    </row>
    <row r="201" ht="11.25">
      <c r="A201" s="19"/>
    </row>
    <row r="202" ht="11.25">
      <c r="A202" s="19"/>
    </row>
    <row r="203" ht="11.25">
      <c r="A203" s="19"/>
    </row>
    <row r="204" ht="11.25">
      <c r="A204" s="19"/>
    </row>
    <row r="205" ht="11.25">
      <c r="A205" s="19"/>
    </row>
    <row r="206" ht="11.25">
      <c r="A206" s="19"/>
    </row>
    <row r="207" ht="11.25">
      <c r="A207" s="19"/>
    </row>
    <row r="208" ht="11.25">
      <c r="A208" s="19"/>
    </row>
    <row r="209" ht="11.25">
      <c r="A209" s="19"/>
    </row>
    <row r="210" ht="11.25">
      <c r="A210" s="19"/>
    </row>
    <row r="211" ht="11.25">
      <c r="A211" s="19"/>
    </row>
    <row r="212" ht="11.25">
      <c r="A212" s="19"/>
    </row>
    <row r="213" ht="11.25">
      <c r="A213" s="19"/>
    </row>
    <row r="214" ht="11.25">
      <c r="A214" s="19"/>
    </row>
    <row r="215" ht="11.25">
      <c r="A215" s="19"/>
    </row>
    <row r="216" ht="11.25">
      <c r="A216" s="19"/>
    </row>
    <row r="217" ht="11.25">
      <c r="A217" s="19"/>
    </row>
    <row r="218" ht="11.25">
      <c r="A218" s="19"/>
    </row>
    <row r="219" ht="11.25">
      <c r="A219" s="19"/>
    </row>
    <row r="222" ht="11.25">
      <c r="A222" s="12" t="s">
        <v>993</v>
      </c>
    </row>
    <row r="223" spans="1:5" ht="11.25">
      <c r="A223" s="12" t="s">
        <v>148</v>
      </c>
      <c r="B223" s="12" t="s">
        <v>74</v>
      </c>
      <c r="C223" s="901" t="s">
        <v>827</v>
      </c>
      <c r="D223" s="902"/>
      <c r="E223" s="903"/>
    </row>
    <row r="224" spans="1:5" ht="11.25">
      <c r="A224" s="976"/>
      <c r="B224" s="976"/>
      <c r="C224" s="341"/>
      <c r="D224" s="904"/>
      <c r="E224" s="107"/>
    </row>
    <row r="225" spans="1:5" ht="11.25">
      <c r="A225" s="14"/>
      <c r="B225" s="14"/>
      <c r="C225" s="341"/>
      <c r="D225" s="904"/>
      <c r="E225" s="107"/>
    </row>
    <row r="226" spans="1:5" ht="11.25">
      <c r="A226" s="14"/>
      <c r="B226" s="14"/>
      <c r="C226" s="341"/>
      <c r="D226" s="904"/>
      <c r="E226" s="107"/>
    </row>
    <row r="227" spans="1:5" ht="11.25">
      <c r="A227" s="14"/>
      <c r="B227" s="14"/>
      <c r="C227" s="341"/>
      <c r="D227" s="904"/>
      <c r="E227" s="107"/>
    </row>
    <row r="228" spans="1:5" ht="11.25">
      <c r="A228" s="14"/>
      <c r="B228" s="14" t="s">
        <v>137</v>
      </c>
      <c r="C228" s="341"/>
      <c r="D228" s="904"/>
      <c r="E228" s="107"/>
    </row>
    <row r="229" spans="1:5" ht="11.25">
      <c r="A229" s="14"/>
      <c r="B229" s="14"/>
      <c r="C229" s="341"/>
      <c r="D229" s="904"/>
      <c r="E229" s="107"/>
    </row>
    <row r="230" spans="1:5" ht="11.25">
      <c r="A230" s="14"/>
      <c r="B230" s="14"/>
      <c r="C230" s="341"/>
      <c r="D230" s="904"/>
      <c r="E230" s="107"/>
    </row>
    <row r="231" spans="1:5" ht="11.25">
      <c r="A231" s="14"/>
      <c r="B231" s="14"/>
      <c r="C231" s="341"/>
      <c r="D231" s="904"/>
      <c r="E231" s="107"/>
    </row>
    <row r="232" spans="1:5" ht="11.25">
      <c r="A232" s="14"/>
      <c r="B232" s="14"/>
      <c r="C232" s="341"/>
      <c r="D232" s="904"/>
      <c r="E232" s="107"/>
    </row>
    <row r="233" spans="1:5" ht="11.25">
      <c r="A233" s="14"/>
      <c r="B233" s="14"/>
      <c r="C233" s="341"/>
      <c r="D233" s="904"/>
      <c r="E233" s="107"/>
    </row>
    <row r="234" spans="1:5" ht="11.25">
      <c r="A234" s="14"/>
      <c r="B234" s="14"/>
      <c r="C234" s="341"/>
      <c r="D234" s="904"/>
      <c r="E234" s="107"/>
    </row>
    <row r="235" spans="1:5" ht="11.25">
      <c r="A235" s="14"/>
      <c r="B235" s="14"/>
      <c r="C235" s="341"/>
      <c r="D235" s="904"/>
      <c r="E235" s="107"/>
    </row>
    <row r="236" spans="1:5" ht="11.25">
      <c r="A236" s="14"/>
      <c r="B236" s="14"/>
      <c r="C236" s="341"/>
      <c r="D236" s="904"/>
      <c r="E236" s="107"/>
    </row>
    <row r="237" spans="1:5" ht="11.25">
      <c r="A237" s="14"/>
      <c r="B237" s="14"/>
      <c r="C237" s="341"/>
      <c r="D237" s="904"/>
      <c r="E237" s="107"/>
    </row>
    <row r="238" spans="1:5" ht="11.25">
      <c r="A238" s="14"/>
      <c r="B238" s="14"/>
      <c r="C238" s="341"/>
      <c r="D238" s="904"/>
      <c r="E238" s="107"/>
    </row>
    <row r="239" spans="1:5" ht="11.25">
      <c r="A239" s="107"/>
      <c r="B239" s="107"/>
      <c r="C239" s="107"/>
      <c r="D239" s="107"/>
      <c r="E239" s="107"/>
    </row>
    <row r="240" spans="1:5" ht="11.25">
      <c r="A240" s="107"/>
      <c r="B240" s="107"/>
      <c r="C240" s="107"/>
      <c r="D240" s="107"/>
      <c r="E240" s="107"/>
    </row>
    <row r="241" spans="1:5" ht="11.25">
      <c r="A241" s="9" t="s">
        <v>38</v>
      </c>
      <c r="C241" s="905"/>
      <c r="D241" s="906"/>
      <c r="E241" s="107"/>
    </row>
    <row r="242" spans="1:5" ht="11.25">
      <c r="A242" s="907" t="s">
        <v>75</v>
      </c>
      <c r="B242" s="908" t="s">
        <v>986</v>
      </c>
      <c r="C242" s="908" t="s">
        <v>969</v>
      </c>
      <c r="D242" s="908" t="s">
        <v>149</v>
      </c>
      <c r="E242" s="909" t="s">
        <v>681</v>
      </c>
    </row>
    <row r="243" spans="1:5" ht="11.25">
      <c r="A243" s="13" t="s">
        <v>146</v>
      </c>
      <c r="B243" s="972" t="s">
        <v>935</v>
      </c>
      <c r="C243" s="13" t="s">
        <v>942</v>
      </c>
      <c r="D243" s="29" t="str">
        <f aca="true" t="shared" si="2" ref="D243:D265">B243&amp;"  "&amp;C243</f>
        <v>Prest Conc I-Beam  LinFt</v>
      </c>
      <c r="E243" s="19" t="s">
        <v>667</v>
      </c>
    </row>
    <row r="244" spans="1:5" ht="11.25">
      <c r="A244" s="13" t="s">
        <v>85</v>
      </c>
      <c r="B244" s="13" t="s">
        <v>935</v>
      </c>
      <c r="C244" s="13" t="s">
        <v>87</v>
      </c>
      <c r="D244" s="29" t="str">
        <f t="shared" si="2"/>
        <v>Prest Conc I-Beam  Meter</v>
      </c>
      <c r="E244" s="19" t="s">
        <v>668</v>
      </c>
    </row>
    <row r="245" spans="1:5" ht="11.25">
      <c r="A245" s="15" t="s">
        <v>846</v>
      </c>
      <c r="B245" s="16" t="s">
        <v>936</v>
      </c>
      <c r="C245" s="13" t="s">
        <v>942</v>
      </c>
      <c r="D245" s="29" t="str">
        <f t="shared" si="2"/>
        <v>Prest Bulb T Beam  LinFt</v>
      </c>
      <c r="E245" s="19" t="s">
        <v>943</v>
      </c>
    </row>
    <row r="246" spans="1:5" ht="11.25">
      <c r="A246" s="13" t="s">
        <v>847</v>
      </c>
      <c r="B246" s="17" t="s">
        <v>936</v>
      </c>
      <c r="C246" s="13" t="s">
        <v>87</v>
      </c>
      <c r="D246" s="29" t="str">
        <f t="shared" si="2"/>
        <v>Prest Bulb T Beam  Meter</v>
      </c>
      <c r="E246" s="19" t="s">
        <v>944</v>
      </c>
    </row>
    <row r="247" spans="1:5" ht="11.25">
      <c r="A247" s="973">
        <v>27603</v>
      </c>
      <c r="B247" s="974" t="s">
        <v>1251</v>
      </c>
      <c r="C247" s="972" t="s">
        <v>942</v>
      </c>
      <c r="D247" s="29" t="str">
        <f t="shared" si="2"/>
        <v>Prest Conc N IL-Beam  LinFt</v>
      </c>
      <c r="E247" s="19" t="s">
        <v>667</v>
      </c>
    </row>
    <row r="248" spans="1:5" ht="11.25">
      <c r="A248" s="972" t="s">
        <v>1250</v>
      </c>
      <c r="B248" s="974" t="s">
        <v>1251</v>
      </c>
      <c r="C248" s="972" t="s">
        <v>87</v>
      </c>
      <c r="D248" s="29" t="str">
        <f t="shared" si="2"/>
        <v>Prest Conc N IL-Beam  Meter</v>
      </c>
      <c r="E248" s="19" t="s">
        <v>668</v>
      </c>
    </row>
    <row r="249" spans="1:5" ht="11.25">
      <c r="A249" s="973">
        <v>27604</v>
      </c>
      <c r="B249" s="974" t="s">
        <v>1252</v>
      </c>
      <c r="C249" s="972" t="s">
        <v>942</v>
      </c>
      <c r="D249" s="29" t="str">
        <f t="shared" si="2"/>
        <v>Prest Conc W IL-Beam  LinFt</v>
      </c>
      <c r="E249" s="19" t="s">
        <v>667</v>
      </c>
    </row>
    <row r="250" spans="1:5" ht="11.25">
      <c r="A250" s="972" t="s">
        <v>1249</v>
      </c>
      <c r="B250" s="974" t="s">
        <v>1252</v>
      </c>
      <c r="C250" s="972" t="s">
        <v>87</v>
      </c>
      <c r="D250" s="29" t="str">
        <f t="shared" si="2"/>
        <v>Prest Conc W IL-Beam  Meter</v>
      </c>
      <c r="E250" s="19" t="s">
        <v>668</v>
      </c>
    </row>
    <row r="251" spans="1:5" ht="11.25">
      <c r="A251" s="13" t="s">
        <v>147</v>
      </c>
      <c r="B251" s="13" t="s">
        <v>95</v>
      </c>
      <c r="C251" s="13" t="s">
        <v>88</v>
      </c>
      <c r="D251" s="29" t="str">
        <f t="shared" si="2"/>
        <v>Prest Conc Box-Beam  SqFt</v>
      </c>
      <c r="E251" s="19" t="s">
        <v>667</v>
      </c>
    </row>
    <row r="252" spans="1:5" ht="11.25">
      <c r="A252" s="13" t="s">
        <v>86</v>
      </c>
      <c r="B252" s="13" t="s">
        <v>95</v>
      </c>
      <c r="C252" s="13" t="s">
        <v>89</v>
      </c>
      <c r="D252" s="29" t="str">
        <f t="shared" si="2"/>
        <v>Prest Conc Box-Beam  Sq M</v>
      </c>
      <c r="E252" s="19" t="s">
        <v>668</v>
      </c>
    </row>
    <row r="253" spans="1:5" ht="11.25">
      <c r="A253" s="13" t="s">
        <v>848</v>
      </c>
      <c r="B253" s="13" t="s">
        <v>937</v>
      </c>
      <c r="C253" s="13" t="s">
        <v>942</v>
      </c>
      <c r="D253" s="29" t="str">
        <f t="shared" si="2"/>
        <v>Prest Solid Profile Beam  LinFt</v>
      </c>
      <c r="E253" s="19" t="s">
        <v>943</v>
      </c>
    </row>
    <row r="254" spans="1:5" ht="11.25">
      <c r="A254" s="13" t="s">
        <v>849</v>
      </c>
      <c r="B254" s="13" t="s">
        <v>937</v>
      </c>
      <c r="C254" s="13" t="s">
        <v>87</v>
      </c>
      <c r="D254" s="29" t="str">
        <f t="shared" si="2"/>
        <v>Prest Solid Profile Beam  Meter</v>
      </c>
      <c r="E254" s="19" t="s">
        <v>944</v>
      </c>
    </row>
    <row r="255" spans="1:5" ht="11.25">
      <c r="A255" s="13" t="s">
        <v>850</v>
      </c>
      <c r="B255" s="13" t="s">
        <v>938</v>
      </c>
      <c r="C255" s="13" t="s">
        <v>88</v>
      </c>
      <c r="D255" s="29" t="str">
        <f t="shared" si="2"/>
        <v>Prest Deck Plank  SqFt</v>
      </c>
      <c r="E255" s="19" t="s">
        <v>667</v>
      </c>
    </row>
    <row r="256" spans="1:5" ht="11.25">
      <c r="A256" s="13" t="s">
        <v>851</v>
      </c>
      <c r="B256" s="13" t="s">
        <v>938</v>
      </c>
      <c r="C256" s="13" t="s">
        <v>89</v>
      </c>
      <c r="D256" s="29" t="str">
        <f t="shared" si="2"/>
        <v>Prest Deck Plank  Sq M</v>
      </c>
      <c r="E256" s="19" t="s">
        <v>668</v>
      </c>
    </row>
    <row r="257" spans="1:5" ht="11.25">
      <c r="A257" s="13" t="s">
        <v>852</v>
      </c>
      <c r="B257" s="13" t="s">
        <v>939</v>
      </c>
      <c r="C257" s="13" t="s">
        <v>942</v>
      </c>
      <c r="D257" s="29" t="str">
        <f t="shared" si="2"/>
        <v>Prest Retaining Wall  LinFt</v>
      </c>
      <c r="E257" s="19" t="s">
        <v>945</v>
      </c>
    </row>
    <row r="258" spans="1:5" ht="11.25">
      <c r="A258" s="13" t="s">
        <v>853</v>
      </c>
      <c r="B258" s="13" t="s">
        <v>939</v>
      </c>
      <c r="C258" s="13" t="s">
        <v>87</v>
      </c>
      <c r="D258" s="29" t="str">
        <f t="shared" si="2"/>
        <v>Prest Retaining Wall  Meter</v>
      </c>
      <c r="E258" s="19" t="s">
        <v>946</v>
      </c>
    </row>
    <row r="259" spans="1:5" ht="11.25">
      <c r="A259" s="13" t="s">
        <v>931</v>
      </c>
      <c r="B259" s="13" t="s">
        <v>940</v>
      </c>
      <c r="C259" s="13" t="s">
        <v>942</v>
      </c>
      <c r="D259" s="29" t="str">
        <f t="shared" si="2"/>
        <v>Precast Piling  LinFt</v>
      </c>
      <c r="E259" s="19" t="s">
        <v>947</v>
      </c>
    </row>
    <row r="260" spans="1:5" ht="11.25">
      <c r="A260" s="13" t="s">
        <v>932</v>
      </c>
      <c r="B260" s="13" t="s">
        <v>940</v>
      </c>
      <c r="C260" s="13" t="s">
        <v>87</v>
      </c>
      <c r="D260" s="29" t="str">
        <f t="shared" si="2"/>
        <v>Precast Piling  Meter</v>
      </c>
      <c r="E260" s="19" t="s">
        <v>948</v>
      </c>
    </row>
    <row r="261" spans="1:5" ht="11.25">
      <c r="A261" s="13" t="s">
        <v>933</v>
      </c>
      <c r="B261" s="13" t="s">
        <v>941</v>
      </c>
      <c r="C261" s="13" t="s">
        <v>942</v>
      </c>
      <c r="D261" s="29" t="str">
        <f t="shared" si="2"/>
        <v>Prest Prec Piling  LinFt</v>
      </c>
      <c r="E261" s="19" t="s">
        <v>947</v>
      </c>
    </row>
    <row r="262" spans="1:5" ht="11.25">
      <c r="A262" s="13" t="s">
        <v>934</v>
      </c>
      <c r="B262" s="13" t="s">
        <v>941</v>
      </c>
      <c r="C262" s="13" t="s">
        <v>87</v>
      </c>
      <c r="D262" s="29" t="str">
        <f t="shared" si="2"/>
        <v>Prest Prec Piling  Meter</v>
      </c>
      <c r="E262" s="19" t="s">
        <v>948</v>
      </c>
    </row>
    <row r="263" spans="1:5" ht="11.25">
      <c r="A263" s="13"/>
      <c r="B263" s="13"/>
      <c r="C263" s="13"/>
      <c r="D263" s="29" t="str">
        <f t="shared" si="2"/>
        <v>  </v>
      </c>
      <c r="E263" s="19"/>
    </row>
    <row r="264" spans="1:5" ht="11.25">
      <c r="A264" s="13"/>
      <c r="B264" s="13"/>
      <c r="C264" s="13"/>
      <c r="D264" s="29" t="str">
        <f t="shared" si="2"/>
        <v>  </v>
      </c>
      <c r="E264" s="19"/>
    </row>
    <row r="265" spans="1:5" ht="11.25">
      <c r="A265" s="13"/>
      <c r="B265" s="13"/>
      <c r="C265" s="13"/>
      <c r="D265" s="29" t="str">
        <f t="shared" si="2"/>
        <v>  </v>
      </c>
      <c r="E265" s="19"/>
    </row>
    <row r="266" spans="1:4" ht="11.25">
      <c r="A266" s="108"/>
      <c r="B266" s="108"/>
      <c r="C266" s="108"/>
      <c r="D266" s="108"/>
    </row>
    <row r="268" spans="3:8" ht="15.75">
      <c r="C268" s="178"/>
      <c r="D268" s="179" t="s">
        <v>44</v>
      </c>
      <c r="E268" s="178"/>
      <c r="F268" s="1060" t="s">
        <v>835</v>
      </c>
      <c r="G268" s="1061"/>
      <c r="H268" s="1061"/>
    </row>
    <row r="269" spans="1:22" ht="11.25">
      <c r="A269" s="9" t="s">
        <v>39</v>
      </c>
      <c r="B269" s="910"/>
      <c r="C269" s="910"/>
      <c r="D269" s="911"/>
      <c r="E269" s="911"/>
      <c r="F269" s="911"/>
      <c r="G269" s="911"/>
      <c r="H269" s="911"/>
      <c r="I269" s="911"/>
      <c r="J269" s="911"/>
      <c r="K269" s="911"/>
      <c r="L269" s="911"/>
      <c r="M269" s="911"/>
      <c r="N269" s="911"/>
      <c r="O269" s="911"/>
      <c r="P269" s="911"/>
      <c r="Q269" s="911"/>
      <c r="R269" s="911"/>
      <c r="S269" s="911"/>
      <c r="T269" s="911"/>
      <c r="U269" s="911"/>
      <c r="V269" s="911"/>
    </row>
    <row r="270" spans="1:35" ht="11.25">
      <c r="A270" s="912" t="s">
        <v>1179</v>
      </c>
      <c r="B270" s="912" t="s">
        <v>33</v>
      </c>
      <c r="C270" s="913" t="s">
        <v>1183</v>
      </c>
      <c r="D270" s="913" t="s">
        <v>1186</v>
      </c>
      <c r="E270" s="913" t="s">
        <v>1185</v>
      </c>
      <c r="F270" s="914" t="s">
        <v>1182</v>
      </c>
      <c r="G270" s="914" t="s">
        <v>1187</v>
      </c>
      <c r="H270" s="914" t="s">
        <v>1188</v>
      </c>
      <c r="I270" s="914" t="s">
        <v>1189</v>
      </c>
      <c r="J270" s="914" t="s">
        <v>1190</v>
      </c>
      <c r="K270" s="914" t="s">
        <v>1191</v>
      </c>
      <c r="L270" s="914" t="s">
        <v>1192</v>
      </c>
      <c r="M270" s="914" t="s">
        <v>1193</v>
      </c>
      <c r="N270" s="914" t="s">
        <v>1194</v>
      </c>
      <c r="O270" s="914" t="s">
        <v>1195</v>
      </c>
      <c r="P270" s="914" t="s">
        <v>1196</v>
      </c>
      <c r="Q270" s="914" t="s">
        <v>1197</v>
      </c>
      <c r="R270" s="914" t="s">
        <v>1198</v>
      </c>
      <c r="S270" s="914" t="s">
        <v>1199</v>
      </c>
      <c r="T270" s="914" t="s">
        <v>1200</v>
      </c>
      <c r="U270" s="914" t="s">
        <v>1201</v>
      </c>
      <c r="V270" s="914" t="s">
        <v>1202</v>
      </c>
      <c r="W270" s="914" t="s">
        <v>1203</v>
      </c>
      <c r="X270" s="914" t="s">
        <v>1204</v>
      </c>
      <c r="Y270" s="914" t="s">
        <v>0</v>
      </c>
      <c r="Z270" s="914" t="s">
        <v>1</v>
      </c>
      <c r="AA270" s="914" t="s">
        <v>2</v>
      </c>
      <c r="AB270" s="914" t="s">
        <v>3</v>
      </c>
      <c r="AC270" s="914" t="s">
        <v>4</v>
      </c>
      <c r="AD270" s="915" t="s">
        <v>5</v>
      </c>
      <c r="AE270" s="915" t="s">
        <v>6</v>
      </c>
      <c r="AF270" s="916" t="s">
        <v>7</v>
      </c>
      <c r="AG270" s="915" t="s">
        <v>28</v>
      </c>
      <c r="AH270" s="915" t="s">
        <v>29</v>
      </c>
      <c r="AI270" s="916" t="s">
        <v>30</v>
      </c>
    </row>
    <row r="271" spans="1:35" ht="11.25">
      <c r="A271" s="19"/>
      <c r="B271" s="19"/>
      <c r="C271" s="14"/>
      <c r="D271" s="14"/>
      <c r="E271" s="14"/>
      <c r="F271" s="14"/>
      <c r="G271" s="14"/>
      <c r="H271" s="14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  <c r="X271" s="165"/>
      <c r="Y271" s="165"/>
      <c r="Z271" s="165"/>
      <c r="AA271" s="165"/>
      <c r="AB271" s="165"/>
      <c r="AC271" s="165"/>
      <c r="AD271" s="166"/>
      <c r="AE271" s="165"/>
      <c r="AF271" s="165"/>
      <c r="AG271" s="166"/>
      <c r="AH271" s="165"/>
      <c r="AI271" s="165"/>
    </row>
    <row r="272" spans="1:35" ht="11.25">
      <c r="A272" s="19"/>
      <c r="B272" s="19"/>
      <c r="C272" s="14"/>
      <c r="D272" s="14"/>
      <c r="E272" s="14"/>
      <c r="F272" s="14"/>
      <c r="G272" s="14"/>
      <c r="H272" s="14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  <c r="X272" s="165"/>
      <c r="Y272" s="165"/>
      <c r="Z272" s="165"/>
      <c r="AA272" s="165"/>
      <c r="AB272" s="165"/>
      <c r="AC272" s="165"/>
      <c r="AD272" s="166"/>
      <c r="AE272" s="165"/>
      <c r="AF272" s="165"/>
      <c r="AG272" s="166"/>
      <c r="AH272" s="165"/>
      <c r="AI272" s="165"/>
    </row>
    <row r="273" spans="1:35" ht="11.25">
      <c r="A273" s="19"/>
      <c r="B273" s="19"/>
      <c r="C273" s="14"/>
      <c r="D273" s="14"/>
      <c r="E273" s="14"/>
      <c r="F273" s="14"/>
      <c r="G273" s="14"/>
      <c r="H273" s="14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  <c r="X273" s="165"/>
      <c r="Y273" s="165"/>
      <c r="Z273" s="165"/>
      <c r="AA273" s="165"/>
      <c r="AB273" s="165"/>
      <c r="AC273" s="165"/>
      <c r="AD273" s="166"/>
      <c r="AE273" s="165"/>
      <c r="AF273" s="165"/>
      <c r="AG273" s="166"/>
      <c r="AH273" s="165"/>
      <c r="AI273" s="165"/>
    </row>
    <row r="274" spans="1:35" ht="11.25">
      <c r="A274" s="19"/>
      <c r="B274" s="19"/>
      <c r="C274" s="14"/>
      <c r="D274" s="14"/>
      <c r="E274" s="14"/>
      <c r="F274" s="14"/>
      <c r="G274" s="14"/>
      <c r="H274" s="14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  <c r="X274" s="165"/>
      <c r="Y274" s="165"/>
      <c r="Z274" s="165"/>
      <c r="AA274" s="165"/>
      <c r="AB274" s="165"/>
      <c r="AC274" s="165"/>
      <c r="AD274" s="166"/>
      <c r="AE274" s="165"/>
      <c r="AF274" s="165"/>
      <c r="AG274" s="166"/>
      <c r="AH274" s="165"/>
      <c r="AI274" s="165"/>
    </row>
    <row r="275" spans="1:35" ht="11.25">
      <c r="A275" s="19"/>
      <c r="B275" s="19"/>
      <c r="C275" s="14"/>
      <c r="D275" s="14"/>
      <c r="E275" s="14"/>
      <c r="F275" s="14"/>
      <c r="G275" s="14"/>
      <c r="H275" s="14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  <c r="X275" s="165"/>
      <c r="Y275" s="165"/>
      <c r="Z275" s="165"/>
      <c r="AA275" s="165"/>
      <c r="AB275" s="165"/>
      <c r="AC275" s="165"/>
      <c r="AD275" s="166"/>
      <c r="AE275" s="165"/>
      <c r="AF275" s="165"/>
      <c r="AG275" s="166"/>
      <c r="AH275" s="165"/>
      <c r="AI275" s="165"/>
    </row>
    <row r="276" spans="1:35" ht="11.25">
      <c r="A276" s="19"/>
      <c r="B276" s="19"/>
      <c r="C276" s="19"/>
      <c r="D276" s="19"/>
      <c r="E276" s="19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  <c r="X276" s="165"/>
      <c r="Y276" s="165"/>
      <c r="Z276" s="165"/>
      <c r="AA276" s="165"/>
      <c r="AB276" s="165"/>
      <c r="AC276" s="165"/>
      <c r="AD276" s="166"/>
      <c r="AE276" s="166"/>
      <c r="AF276" s="165"/>
      <c r="AG276" s="166"/>
      <c r="AH276" s="166"/>
      <c r="AI276" s="165"/>
    </row>
    <row r="277" spans="1:35" ht="11.25">
      <c r="A277" s="19"/>
      <c r="B277" s="19"/>
      <c r="C277" s="19"/>
      <c r="D277" s="19"/>
      <c r="E277" s="19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  <c r="X277" s="165"/>
      <c r="Y277" s="165"/>
      <c r="Z277" s="165"/>
      <c r="AA277" s="165"/>
      <c r="AB277" s="165"/>
      <c r="AC277" s="165"/>
      <c r="AD277" s="166"/>
      <c r="AE277" s="166"/>
      <c r="AF277" s="165"/>
      <c r="AG277" s="166"/>
      <c r="AH277" s="166"/>
      <c r="AI277" s="165"/>
    </row>
    <row r="278" spans="1:35" ht="11.25">
      <c r="A278" s="19"/>
      <c r="B278" s="19"/>
      <c r="C278" s="19"/>
      <c r="D278" s="19"/>
      <c r="E278" s="19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  <c r="X278" s="165"/>
      <c r="Y278" s="165"/>
      <c r="Z278" s="165"/>
      <c r="AA278" s="165"/>
      <c r="AB278" s="165"/>
      <c r="AC278" s="165"/>
      <c r="AD278" s="166"/>
      <c r="AE278" s="166"/>
      <c r="AF278" s="165"/>
      <c r="AG278" s="166"/>
      <c r="AH278" s="166"/>
      <c r="AI278" s="165"/>
    </row>
    <row r="279" spans="1:35" ht="11.25">
      <c r="A279" s="19"/>
      <c r="B279" s="19"/>
      <c r="C279" s="19"/>
      <c r="D279" s="19"/>
      <c r="E279" s="19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  <c r="X279" s="165"/>
      <c r="Y279" s="165"/>
      <c r="Z279" s="165"/>
      <c r="AA279" s="165"/>
      <c r="AB279" s="165"/>
      <c r="AC279" s="165"/>
      <c r="AD279" s="166"/>
      <c r="AE279" s="166"/>
      <c r="AF279" s="165"/>
      <c r="AG279" s="166"/>
      <c r="AH279" s="166"/>
      <c r="AI279" s="165"/>
    </row>
    <row r="280" spans="1:35" ht="11.25">
      <c r="A280" s="19"/>
      <c r="B280" s="19"/>
      <c r="C280" s="19"/>
      <c r="D280" s="19"/>
      <c r="E280" s="19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  <c r="X280" s="165"/>
      <c r="Y280" s="165"/>
      <c r="Z280" s="165"/>
      <c r="AA280" s="165"/>
      <c r="AB280" s="165"/>
      <c r="AC280" s="165"/>
      <c r="AD280" s="166"/>
      <c r="AE280" s="166"/>
      <c r="AF280" s="165"/>
      <c r="AG280" s="166"/>
      <c r="AH280" s="166"/>
      <c r="AI280" s="165"/>
    </row>
    <row r="281" spans="1:35" ht="11.25">
      <c r="A281" s="19"/>
      <c r="B281" s="19"/>
      <c r="C281" s="19"/>
      <c r="D281" s="19"/>
      <c r="E281" s="19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  <c r="X281" s="165"/>
      <c r="Y281" s="165"/>
      <c r="Z281" s="165"/>
      <c r="AA281" s="165"/>
      <c r="AB281" s="165"/>
      <c r="AC281" s="165"/>
      <c r="AD281" s="166"/>
      <c r="AE281" s="166"/>
      <c r="AF281" s="165"/>
      <c r="AG281" s="166"/>
      <c r="AH281" s="166"/>
      <c r="AI281" s="165"/>
    </row>
    <row r="282" spans="1:35" ht="11.25">
      <c r="A282" s="19"/>
      <c r="B282" s="19"/>
      <c r="C282" s="19"/>
      <c r="D282" s="19"/>
      <c r="E282" s="19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  <c r="X282" s="165"/>
      <c r="Y282" s="165"/>
      <c r="Z282" s="165"/>
      <c r="AA282" s="165"/>
      <c r="AB282" s="165"/>
      <c r="AC282" s="165"/>
      <c r="AD282" s="166"/>
      <c r="AE282" s="166"/>
      <c r="AF282" s="165"/>
      <c r="AG282" s="166"/>
      <c r="AH282" s="166"/>
      <c r="AI282" s="165"/>
    </row>
    <row r="283" spans="1:35" ht="11.25">
      <c r="A283" s="19"/>
      <c r="B283" s="19"/>
      <c r="C283" s="19"/>
      <c r="D283" s="19"/>
      <c r="E283" s="19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  <c r="X283" s="165"/>
      <c r="Y283" s="165"/>
      <c r="Z283" s="165"/>
      <c r="AA283" s="165"/>
      <c r="AB283" s="165"/>
      <c r="AC283" s="165"/>
      <c r="AD283" s="166"/>
      <c r="AE283" s="166"/>
      <c r="AF283" s="165"/>
      <c r="AG283" s="166"/>
      <c r="AH283" s="166"/>
      <c r="AI283" s="165"/>
    </row>
    <row r="284" spans="1:35" ht="11.25">
      <c r="A284" s="19"/>
      <c r="B284" s="19"/>
      <c r="C284" s="19"/>
      <c r="D284" s="19"/>
      <c r="E284" s="19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6"/>
      <c r="AE284" s="166"/>
      <c r="AF284" s="165"/>
      <c r="AG284" s="166"/>
      <c r="AH284" s="166"/>
      <c r="AI284" s="165"/>
    </row>
    <row r="285" spans="1:35" ht="11.25">
      <c r="A285" s="19"/>
      <c r="B285" s="19"/>
      <c r="C285" s="19"/>
      <c r="D285" s="19"/>
      <c r="E285" s="19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6"/>
      <c r="AE285" s="166"/>
      <c r="AF285" s="165"/>
      <c r="AG285" s="166"/>
      <c r="AH285" s="166"/>
      <c r="AI285" s="165"/>
    </row>
    <row r="286" spans="1:35" ht="11.25">
      <c r="A286" s="19"/>
      <c r="B286" s="19"/>
      <c r="C286" s="19"/>
      <c r="D286" s="19"/>
      <c r="E286" s="19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  <c r="X286" s="165"/>
      <c r="Y286" s="165"/>
      <c r="Z286" s="165"/>
      <c r="AA286" s="165"/>
      <c r="AB286" s="165"/>
      <c r="AC286" s="165"/>
      <c r="AD286" s="166"/>
      <c r="AE286" s="166"/>
      <c r="AF286" s="165"/>
      <c r="AG286" s="166"/>
      <c r="AH286" s="166"/>
      <c r="AI286" s="165"/>
    </row>
    <row r="287" spans="1:35" ht="11.25">
      <c r="A287" s="19"/>
      <c r="B287" s="19"/>
      <c r="C287" s="19"/>
      <c r="D287" s="19"/>
      <c r="E287" s="19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  <c r="X287" s="165"/>
      <c r="Y287" s="165"/>
      <c r="Z287" s="165"/>
      <c r="AA287" s="165"/>
      <c r="AB287" s="165"/>
      <c r="AC287" s="165"/>
      <c r="AD287" s="166"/>
      <c r="AE287" s="166"/>
      <c r="AF287" s="165"/>
      <c r="AG287" s="166"/>
      <c r="AH287" s="166"/>
      <c r="AI287" s="165"/>
    </row>
    <row r="288" spans="1:35" ht="11.25">
      <c r="A288" s="19"/>
      <c r="B288" s="19"/>
      <c r="C288" s="19"/>
      <c r="D288" s="19"/>
      <c r="E288" s="19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6"/>
      <c r="AE288" s="166"/>
      <c r="AF288" s="165"/>
      <c r="AG288" s="166"/>
      <c r="AH288" s="166"/>
      <c r="AI288" s="165"/>
    </row>
    <row r="289" spans="1:35" ht="11.25">
      <c r="A289" s="19"/>
      <c r="B289" s="19"/>
      <c r="C289" s="19"/>
      <c r="D289" s="19"/>
      <c r="E289" s="19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6"/>
      <c r="AE289" s="166"/>
      <c r="AF289" s="165"/>
      <c r="AG289" s="166"/>
      <c r="AH289" s="166"/>
      <c r="AI289" s="165"/>
    </row>
    <row r="290" spans="1:35" ht="11.25">
      <c r="A290" s="19"/>
      <c r="B290" s="19"/>
      <c r="C290" s="19"/>
      <c r="D290" s="19"/>
      <c r="E290" s="19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  <c r="AA290" s="165"/>
      <c r="AB290" s="165"/>
      <c r="AC290" s="165"/>
      <c r="AD290" s="166"/>
      <c r="AE290" s="166"/>
      <c r="AF290" s="165"/>
      <c r="AG290" s="166"/>
      <c r="AH290" s="166"/>
      <c r="AI290" s="165"/>
    </row>
    <row r="291" spans="1:35" ht="11.25">
      <c r="A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</row>
    <row r="293" spans="3:8" ht="15.75">
      <c r="C293" s="178"/>
      <c r="D293" s="179" t="s">
        <v>44</v>
      </c>
      <c r="E293" s="178"/>
      <c r="F293" s="1060" t="s">
        <v>835</v>
      </c>
      <c r="G293" s="1061"/>
      <c r="H293" s="1061"/>
    </row>
    <row r="294" spans="1:35" ht="11.25">
      <c r="A294" s="9" t="s">
        <v>40</v>
      </c>
      <c r="C294" s="910"/>
      <c r="D294" s="910"/>
      <c r="E294" s="911"/>
      <c r="F294" s="917"/>
      <c r="G294" s="917"/>
      <c r="H294" s="917"/>
      <c r="I294" s="917"/>
      <c r="J294" s="917"/>
      <c r="K294" s="917"/>
      <c r="L294" s="917"/>
      <c r="M294" s="917"/>
      <c r="N294" s="917"/>
      <c r="O294" s="917"/>
      <c r="P294" s="917"/>
      <c r="Q294" s="917"/>
      <c r="R294" s="917"/>
      <c r="S294" s="917"/>
      <c r="T294" s="917"/>
      <c r="U294" s="917"/>
      <c r="V294" s="917"/>
      <c r="W294" s="91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</row>
    <row r="295" spans="1:35" ht="11.25">
      <c r="A295" s="912" t="s">
        <v>1179</v>
      </c>
      <c r="B295" s="912" t="s">
        <v>1179</v>
      </c>
      <c r="C295" s="913" t="s">
        <v>1183</v>
      </c>
      <c r="D295" s="913" t="s">
        <v>9</v>
      </c>
      <c r="E295" s="913" t="s">
        <v>8</v>
      </c>
      <c r="F295" s="914" t="s">
        <v>1182</v>
      </c>
      <c r="G295" s="914" t="s">
        <v>10</v>
      </c>
      <c r="H295" s="914" t="s">
        <v>11</v>
      </c>
      <c r="I295" s="914" t="s">
        <v>1189</v>
      </c>
      <c r="J295" s="914" t="s">
        <v>12</v>
      </c>
      <c r="K295" s="914" t="s">
        <v>13</v>
      </c>
      <c r="L295" s="914" t="s">
        <v>1192</v>
      </c>
      <c r="M295" s="914" t="s">
        <v>14</v>
      </c>
      <c r="N295" s="914" t="s">
        <v>15</v>
      </c>
      <c r="O295" s="914" t="s">
        <v>1195</v>
      </c>
      <c r="P295" s="914" t="s">
        <v>16</v>
      </c>
      <c r="Q295" s="914" t="s">
        <v>17</v>
      </c>
      <c r="R295" s="914" t="s">
        <v>1198</v>
      </c>
      <c r="S295" s="914" t="s">
        <v>18</v>
      </c>
      <c r="T295" s="914" t="s">
        <v>19</v>
      </c>
      <c r="U295" s="914" t="s">
        <v>1201</v>
      </c>
      <c r="V295" s="914" t="s">
        <v>20</v>
      </c>
      <c r="W295" s="914" t="s">
        <v>21</v>
      </c>
      <c r="X295" s="914" t="s">
        <v>1204</v>
      </c>
      <c r="Y295" s="914" t="s">
        <v>22</v>
      </c>
      <c r="Z295" s="914" t="s">
        <v>23</v>
      </c>
      <c r="AA295" s="914" t="s">
        <v>2</v>
      </c>
      <c r="AB295" s="914" t="s">
        <v>24</v>
      </c>
      <c r="AC295" s="914" t="s">
        <v>25</v>
      </c>
      <c r="AD295" s="915" t="s">
        <v>5</v>
      </c>
      <c r="AE295" s="915" t="s">
        <v>26</v>
      </c>
      <c r="AF295" s="916" t="s">
        <v>27</v>
      </c>
      <c r="AG295" s="915" t="s">
        <v>28</v>
      </c>
      <c r="AH295" s="915" t="s">
        <v>31</v>
      </c>
      <c r="AI295" s="916" t="s">
        <v>32</v>
      </c>
    </row>
    <row r="296" spans="1:35" ht="11.25">
      <c r="A296" s="19"/>
      <c r="B296" s="19"/>
      <c r="C296" s="14"/>
      <c r="D296" s="14"/>
      <c r="E296" s="14"/>
      <c r="F296" s="14"/>
      <c r="G296" s="14"/>
      <c r="H296" s="14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  <c r="X296" s="165"/>
      <c r="Y296" s="165"/>
      <c r="Z296" s="165"/>
      <c r="AA296" s="165"/>
      <c r="AB296" s="165"/>
      <c r="AC296" s="165"/>
      <c r="AD296" s="166"/>
      <c r="AE296" s="166"/>
      <c r="AF296" s="165"/>
      <c r="AG296" s="166"/>
      <c r="AH296" s="166"/>
      <c r="AI296" s="165"/>
    </row>
    <row r="297" spans="1:35" ht="11.25">
      <c r="A297" s="19"/>
      <c r="B297" s="19"/>
      <c r="C297" s="14"/>
      <c r="D297" s="165"/>
      <c r="E297" s="165"/>
      <c r="F297" s="14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  <c r="X297" s="165"/>
      <c r="Y297" s="165"/>
      <c r="Z297" s="165"/>
      <c r="AA297" s="165"/>
      <c r="AB297" s="165"/>
      <c r="AC297" s="165"/>
      <c r="AD297" s="166"/>
      <c r="AE297" s="166"/>
      <c r="AF297" s="165"/>
      <c r="AG297" s="166"/>
      <c r="AH297" s="166"/>
      <c r="AI297" s="165"/>
    </row>
    <row r="298" spans="1:35" ht="11.25">
      <c r="A298" s="19"/>
      <c r="B298" s="19"/>
      <c r="C298" s="14"/>
      <c r="D298" s="165"/>
      <c r="E298" s="165"/>
      <c r="F298" s="14"/>
      <c r="G298" s="165"/>
      <c r="H298" s="14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5"/>
      <c r="AD298" s="166"/>
      <c r="AE298" s="166"/>
      <c r="AF298" s="165"/>
      <c r="AG298" s="166"/>
      <c r="AH298" s="166"/>
      <c r="AI298" s="165"/>
    </row>
    <row r="299" spans="1:35" ht="11.25">
      <c r="A299" s="19"/>
      <c r="B299" s="19"/>
      <c r="C299" s="14"/>
      <c r="D299" s="165"/>
      <c r="E299" s="165"/>
      <c r="F299" s="14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  <c r="AA299" s="165"/>
      <c r="AB299" s="165"/>
      <c r="AC299" s="165"/>
      <c r="AD299" s="166"/>
      <c r="AE299" s="166"/>
      <c r="AF299" s="165"/>
      <c r="AG299" s="166"/>
      <c r="AH299" s="166"/>
      <c r="AI299" s="165"/>
    </row>
    <row r="300" spans="1:35" ht="11.25">
      <c r="A300" s="19"/>
      <c r="B300" s="19"/>
      <c r="C300" s="14"/>
      <c r="D300" s="165"/>
      <c r="E300" s="165"/>
      <c r="F300" s="14"/>
      <c r="G300" s="165"/>
      <c r="H300" s="14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  <c r="AD300" s="166"/>
      <c r="AE300" s="166"/>
      <c r="AF300" s="165"/>
      <c r="AG300" s="166"/>
      <c r="AH300" s="166"/>
      <c r="AI300" s="165"/>
    </row>
    <row r="301" spans="1:35" ht="11.25">
      <c r="A301" s="19"/>
      <c r="B301" s="19"/>
      <c r="C301" s="19"/>
      <c r="D301" s="19"/>
      <c r="E301" s="19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  <c r="X301" s="165"/>
      <c r="Y301" s="165"/>
      <c r="Z301" s="165"/>
      <c r="AA301" s="165"/>
      <c r="AB301" s="165"/>
      <c r="AC301" s="165"/>
      <c r="AD301" s="166"/>
      <c r="AE301" s="166"/>
      <c r="AF301" s="165"/>
      <c r="AG301" s="166"/>
      <c r="AH301" s="166"/>
      <c r="AI301" s="165"/>
    </row>
    <row r="302" spans="1:35" ht="11.25">
      <c r="A302" s="19"/>
      <c r="B302" s="19"/>
      <c r="C302" s="19"/>
      <c r="D302" s="19"/>
      <c r="E302" s="19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  <c r="X302" s="165"/>
      <c r="Y302" s="165"/>
      <c r="Z302" s="165"/>
      <c r="AA302" s="165"/>
      <c r="AB302" s="165"/>
      <c r="AC302" s="165"/>
      <c r="AD302" s="166"/>
      <c r="AE302" s="166"/>
      <c r="AF302" s="165"/>
      <c r="AG302" s="166"/>
      <c r="AH302" s="166"/>
      <c r="AI302" s="165"/>
    </row>
    <row r="303" spans="1:35" ht="11.25">
      <c r="A303" s="19"/>
      <c r="B303" s="19"/>
      <c r="C303" s="19"/>
      <c r="D303" s="19"/>
      <c r="E303" s="19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  <c r="X303" s="165"/>
      <c r="Y303" s="165"/>
      <c r="Z303" s="165"/>
      <c r="AA303" s="165"/>
      <c r="AB303" s="165"/>
      <c r="AC303" s="165"/>
      <c r="AD303" s="166"/>
      <c r="AE303" s="166"/>
      <c r="AF303" s="165"/>
      <c r="AG303" s="166"/>
      <c r="AH303" s="166"/>
      <c r="AI303" s="165"/>
    </row>
    <row r="304" spans="1:35" ht="11.25">
      <c r="A304" s="19"/>
      <c r="B304" s="19"/>
      <c r="C304" s="19"/>
      <c r="D304" s="19"/>
      <c r="E304" s="19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  <c r="X304" s="165"/>
      <c r="Y304" s="165"/>
      <c r="Z304" s="165"/>
      <c r="AA304" s="165"/>
      <c r="AB304" s="165"/>
      <c r="AC304" s="165"/>
      <c r="AD304" s="166"/>
      <c r="AE304" s="166"/>
      <c r="AF304" s="165"/>
      <c r="AG304" s="166"/>
      <c r="AH304" s="166"/>
      <c r="AI304" s="165"/>
    </row>
    <row r="305" spans="1:35" ht="11.25">
      <c r="A305" s="19"/>
      <c r="B305" s="19"/>
      <c r="C305" s="19"/>
      <c r="D305" s="19"/>
      <c r="E305" s="19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  <c r="X305" s="165"/>
      <c r="Y305" s="165"/>
      <c r="Z305" s="165"/>
      <c r="AA305" s="165"/>
      <c r="AB305" s="165"/>
      <c r="AC305" s="165"/>
      <c r="AD305" s="166"/>
      <c r="AE305" s="166"/>
      <c r="AF305" s="165"/>
      <c r="AG305" s="166"/>
      <c r="AH305" s="166"/>
      <c r="AI305" s="165"/>
    </row>
    <row r="306" spans="1:35" ht="11.25">
      <c r="A306" s="19"/>
      <c r="B306" s="19"/>
      <c r="C306" s="19"/>
      <c r="D306" s="19"/>
      <c r="E306" s="19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  <c r="X306" s="165"/>
      <c r="Y306" s="165"/>
      <c r="Z306" s="165"/>
      <c r="AA306" s="165"/>
      <c r="AB306" s="165"/>
      <c r="AC306" s="165"/>
      <c r="AD306" s="166"/>
      <c r="AE306" s="166"/>
      <c r="AF306" s="165"/>
      <c r="AG306" s="166"/>
      <c r="AH306" s="166"/>
      <c r="AI306" s="165"/>
    </row>
    <row r="307" spans="1:35" ht="11.25">
      <c r="A307" s="19"/>
      <c r="B307" s="19"/>
      <c r="C307" s="19"/>
      <c r="D307" s="19"/>
      <c r="E307" s="19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  <c r="X307" s="165"/>
      <c r="Y307" s="165"/>
      <c r="Z307" s="165"/>
      <c r="AA307" s="165"/>
      <c r="AB307" s="165"/>
      <c r="AC307" s="165"/>
      <c r="AD307" s="166"/>
      <c r="AE307" s="166"/>
      <c r="AF307" s="165"/>
      <c r="AG307" s="166"/>
      <c r="AH307" s="166"/>
      <c r="AI307" s="165"/>
    </row>
    <row r="308" spans="1:35" ht="11.25">
      <c r="A308" s="19"/>
      <c r="B308" s="19"/>
      <c r="C308" s="19"/>
      <c r="D308" s="19"/>
      <c r="E308" s="19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  <c r="X308" s="165"/>
      <c r="Y308" s="165"/>
      <c r="Z308" s="165"/>
      <c r="AA308" s="165"/>
      <c r="AB308" s="165"/>
      <c r="AC308" s="165"/>
      <c r="AD308" s="166"/>
      <c r="AE308" s="166"/>
      <c r="AF308" s="165"/>
      <c r="AG308" s="166"/>
      <c r="AH308" s="166"/>
      <c r="AI308" s="165"/>
    </row>
    <row r="309" spans="1:35" ht="11.25">
      <c r="A309" s="19"/>
      <c r="B309" s="19"/>
      <c r="C309" s="19"/>
      <c r="D309" s="19"/>
      <c r="E309" s="19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  <c r="X309" s="165"/>
      <c r="Y309" s="165"/>
      <c r="Z309" s="165"/>
      <c r="AA309" s="165"/>
      <c r="AB309" s="165"/>
      <c r="AC309" s="165"/>
      <c r="AD309" s="166"/>
      <c r="AE309" s="166"/>
      <c r="AF309" s="165"/>
      <c r="AG309" s="166"/>
      <c r="AH309" s="166"/>
      <c r="AI309" s="165"/>
    </row>
    <row r="310" spans="1:35" ht="11.25">
      <c r="A310" s="19"/>
      <c r="B310" s="19"/>
      <c r="C310" s="19"/>
      <c r="D310" s="19"/>
      <c r="E310" s="19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  <c r="X310" s="165"/>
      <c r="Y310" s="165"/>
      <c r="Z310" s="165"/>
      <c r="AA310" s="165"/>
      <c r="AB310" s="165"/>
      <c r="AC310" s="165"/>
      <c r="AD310" s="166"/>
      <c r="AE310" s="166"/>
      <c r="AF310" s="165"/>
      <c r="AG310" s="166"/>
      <c r="AH310" s="166"/>
      <c r="AI310" s="165"/>
    </row>
    <row r="311" spans="1:35" ht="11.25">
      <c r="A311" s="19"/>
      <c r="B311" s="19"/>
      <c r="C311" s="19"/>
      <c r="D311" s="19"/>
      <c r="E311" s="19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  <c r="X311" s="165"/>
      <c r="Y311" s="165"/>
      <c r="Z311" s="165"/>
      <c r="AA311" s="165"/>
      <c r="AB311" s="165"/>
      <c r="AC311" s="165"/>
      <c r="AD311" s="166"/>
      <c r="AE311" s="166"/>
      <c r="AF311" s="165"/>
      <c r="AG311" s="166"/>
      <c r="AH311" s="166"/>
      <c r="AI311" s="165"/>
    </row>
    <row r="312" spans="1:35" ht="11.25">
      <c r="A312" s="19"/>
      <c r="B312" s="19"/>
      <c r="C312" s="19"/>
      <c r="D312" s="19"/>
      <c r="E312" s="19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  <c r="X312" s="165"/>
      <c r="Y312" s="165"/>
      <c r="Z312" s="165"/>
      <c r="AA312" s="165"/>
      <c r="AB312" s="165"/>
      <c r="AC312" s="165"/>
      <c r="AD312" s="166"/>
      <c r="AE312" s="166"/>
      <c r="AF312" s="165"/>
      <c r="AG312" s="166"/>
      <c r="AH312" s="166"/>
      <c r="AI312" s="165"/>
    </row>
    <row r="313" spans="1:35" ht="11.25">
      <c r="A313" s="19"/>
      <c r="B313" s="19"/>
      <c r="C313" s="19"/>
      <c r="D313" s="19"/>
      <c r="E313" s="19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  <c r="X313" s="165"/>
      <c r="Y313" s="165"/>
      <c r="Z313" s="165"/>
      <c r="AA313" s="165"/>
      <c r="AB313" s="165"/>
      <c r="AC313" s="165"/>
      <c r="AD313" s="166"/>
      <c r="AE313" s="166"/>
      <c r="AF313" s="165"/>
      <c r="AG313" s="166"/>
      <c r="AH313" s="166"/>
      <c r="AI313" s="165"/>
    </row>
    <row r="314" spans="1:35" ht="11.25">
      <c r="A314" s="19"/>
      <c r="B314" s="19"/>
      <c r="C314" s="19"/>
      <c r="D314" s="19"/>
      <c r="E314" s="19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  <c r="X314" s="165"/>
      <c r="Y314" s="165"/>
      <c r="Z314" s="165"/>
      <c r="AA314" s="165"/>
      <c r="AB314" s="165"/>
      <c r="AC314" s="165"/>
      <c r="AD314" s="166"/>
      <c r="AE314" s="166"/>
      <c r="AF314" s="165"/>
      <c r="AG314" s="166"/>
      <c r="AH314" s="166"/>
      <c r="AI314" s="165"/>
    </row>
    <row r="315" spans="1:35" ht="11.25">
      <c r="A315" s="19"/>
      <c r="B315" s="19"/>
      <c r="C315" s="19"/>
      <c r="D315" s="19"/>
      <c r="E315" s="19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  <c r="X315" s="165"/>
      <c r="Y315" s="165"/>
      <c r="Z315" s="165"/>
      <c r="AA315" s="165"/>
      <c r="AB315" s="165"/>
      <c r="AC315" s="165"/>
      <c r="AD315" s="166"/>
      <c r="AE315" s="166"/>
      <c r="AF315" s="165"/>
      <c r="AG315" s="166"/>
      <c r="AH315" s="166"/>
      <c r="AI315" s="165"/>
    </row>
    <row r="317" ht="11.25">
      <c r="A317" s="175" t="s">
        <v>964</v>
      </c>
    </row>
    <row r="318" spans="1:2" ht="11.25">
      <c r="A318" s="175" t="s">
        <v>41</v>
      </c>
      <c r="B318" s="107"/>
    </row>
    <row r="319" spans="1:4" ht="11.25">
      <c r="A319" s="918" t="s">
        <v>46</v>
      </c>
      <c r="B319" s="918" t="s">
        <v>75</v>
      </c>
      <c r="C319" s="919" t="s">
        <v>45</v>
      </c>
      <c r="D319" s="11" t="s">
        <v>969</v>
      </c>
    </row>
    <row r="320" spans="1:4" ht="11.25">
      <c r="A320" s="165"/>
      <c r="B320" s="198"/>
      <c r="C320" s="14"/>
      <c r="D320" s="14"/>
    </row>
    <row r="321" spans="1:4" ht="11.25">
      <c r="A321" s="165"/>
      <c r="B321" s="198"/>
      <c r="C321" s="14"/>
      <c r="D321" s="14"/>
    </row>
    <row r="322" spans="1:4" ht="11.25">
      <c r="A322" s="165"/>
      <c r="B322" s="198"/>
      <c r="C322" s="14"/>
      <c r="D322" s="199"/>
    </row>
    <row r="323" spans="1:4" ht="11.25">
      <c r="A323" s="165"/>
      <c r="B323" s="198"/>
      <c r="C323" s="14"/>
      <c r="D323" s="14"/>
    </row>
    <row r="324" spans="1:4" ht="11.25">
      <c r="A324" s="165"/>
      <c r="B324" s="198"/>
      <c r="C324" s="14"/>
      <c r="D324" s="14"/>
    </row>
    <row r="325" spans="1:4" ht="11.25">
      <c r="A325" s="165"/>
      <c r="B325" s="198"/>
      <c r="C325" s="14"/>
      <c r="D325" s="14"/>
    </row>
    <row r="326" spans="1:4" ht="11.25">
      <c r="A326" s="165"/>
      <c r="B326" s="198"/>
      <c r="C326" s="14"/>
      <c r="D326" s="14"/>
    </row>
    <row r="327" spans="1:4" ht="11.25">
      <c r="A327" s="165"/>
      <c r="B327" s="165"/>
      <c r="C327" s="14"/>
      <c r="D327" s="14"/>
    </row>
    <row r="328" spans="1:4" ht="11.25">
      <c r="A328" s="200"/>
      <c r="B328" s="165"/>
      <c r="C328" s="14"/>
      <c r="D328" s="14"/>
    </row>
    <row r="329" spans="1:4" ht="11.25">
      <c r="A329" s="14"/>
      <c r="B329" s="166"/>
      <c r="C329" s="14"/>
      <c r="D329" s="14"/>
    </row>
    <row r="330" spans="1:4" ht="11.25">
      <c r="A330" s="14"/>
      <c r="B330" s="166"/>
      <c r="C330" s="14"/>
      <c r="D330" s="14"/>
    </row>
    <row r="331" spans="1:4" ht="11.25">
      <c r="A331" s="14"/>
      <c r="B331" s="165"/>
      <c r="C331" s="14"/>
      <c r="D331" s="14"/>
    </row>
    <row r="332" spans="1:4" ht="11.25">
      <c r="A332" s="14"/>
      <c r="B332" s="14"/>
      <c r="C332" s="14"/>
      <c r="D332" s="14"/>
    </row>
    <row r="333" spans="1:4" ht="11.25">
      <c r="A333" s="14"/>
      <c r="B333" s="14"/>
      <c r="C333" s="14"/>
      <c r="D333" s="14"/>
    </row>
    <row r="334" spans="1:4" ht="11.25">
      <c r="A334" s="14"/>
      <c r="B334" s="14"/>
      <c r="C334" s="14"/>
      <c r="D334" s="14"/>
    </row>
    <row r="335" spans="1:4" ht="11.25">
      <c r="A335" s="14"/>
      <c r="B335" s="14"/>
      <c r="C335" s="14"/>
      <c r="D335" s="14"/>
    </row>
    <row r="336" spans="1:4" ht="11.25">
      <c r="A336" s="14"/>
      <c r="B336" s="14"/>
      <c r="C336" s="14"/>
      <c r="D336" s="14"/>
    </row>
    <row r="337" spans="1:4" ht="11.25">
      <c r="A337" s="14"/>
      <c r="B337" s="14"/>
      <c r="C337" s="14"/>
      <c r="D337" s="14"/>
    </row>
    <row r="338" spans="1:4" ht="11.25">
      <c r="A338" s="14"/>
      <c r="B338" s="14"/>
      <c r="C338" s="14"/>
      <c r="D338" s="14"/>
    </row>
    <row r="339" spans="1:4" ht="11.25">
      <c r="A339" s="14"/>
      <c r="B339" s="14"/>
      <c r="C339" s="14"/>
      <c r="D339" s="14"/>
    </row>
    <row r="340" spans="1:4" ht="11.25">
      <c r="A340" s="14"/>
      <c r="B340" s="14"/>
      <c r="C340" s="14"/>
      <c r="D340" s="14"/>
    </row>
    <row r="341" spans="1:4" ht="11.25">
      <c r="A341" s="14"/>
      <c r="B341" s="14"/>
      <c r="C341" s="14"/>
      <c r="D341" s="14"/>
    </row>
    <row r="342" spans="1:4" ht="11.25">
      <c r="A342" s="14"/>
      <c r="B342" s="14"/>
      <c r="C342" s="14"/>
      <c r="D342" s="14"/>
    </row>
    <row r="343" spans="1:4" ht="11.25">
      <c r="A343" s="14"/>
      <c r="B343" s="14"/>
      <c r="C343" s="14"/>
      <c r="D343" s="14"/>
    </row>
    <row r="344" spans="1:4" ht="11.25">
      <c r="A344" s="14"/>
      <c r="B344" s="14"/>
      <c r="C344" s="14"/>
      <c r="D344" s="14"/>
    </row>
    <row r="345" spans="1:4" ht="11.25">
      <c r="A345" s="14"/>
      <c r="B345" s="14"/>
      <c r="C345" s="14"/>
      <c r="D345" s="14"/>
    </row>
    <row r="346" spans="1:4" ht="11.25">
      <c r="A346" s="14"/>
      <c r="B346" s="14"/>
      <c r="C346" s="14"/>
      <c r="D346" s="14"/>
    </row>
    <row r="347" spans="1:4" ht="11.25">
      <c r="A347" s="14"/>
      <c r="B347" s="14"/>
      <c r="C347" s="14"/>
      <c r="D347" s="14"/>
    </row>
    <row r="348" spans="1:4" ht="11.25">
      <c r="A348" s="14"/>
      <c r="B348" s="14"/>
      <c r="C348" s="14"/>
      <c r="D348" s="14"/>
    </row>
    <row r="349" spans="1:4" ht="11.25">
      <c r="A349" s="14"/>
      <c r="B349" s="14"/>
      <c r="C349" s="14"/>
      <c r="D349" s="14"/>
    </row>
    <row r="350" spans="1:4" ht="11.25">
      <c r="A350" s="14"/>
      <c r="B350" s="14"/>
      <c r="C350" s="14"/>
      <c r="D350" s="14"/>
    </row>
    <row r="351" spans="1:4" ht="11.25">
      <c r="A351" s="14"/>
      <c r="B351" s="14"/>
      <c r="C351" s="14"/>
      <c r="D351" s="14"/>
    </row>
    <row r="352" spans="1:4" ht="11.25">
      <c r="A352" s="14"/>
      <c r="B352" s="14"/>
      <c r="C352" s="14"/>
      <c r="D352" s="14"/>
    </row>
    <row r="353" spans="1:4" ht="11.25">
      <c r="A353" s="14"/>
      <c r="B353" s="14"/>
      <c r="C353" s="14"/>
      <c r="D353" s="14"/>
    </row>
    <row r="354" spans="1:4" ht="11.25">
      <c r="A354" s="14"/>
      <c r="B354" s="14"/>
      <c r="C354" s="14"/>
      <c r="D354" s="14"/>
    </row>
    <row r="355" spans="1:4" ht="11.25">
      <c r="A355" s="14"/>
      <c r="B355" s="14"/>
      <c r="C355" s="14"/>
      <c r="D355" s="14"/>
    </row>
    <row r="356" spans="1:4" ht="11.25">
      <c r="A356" s="14"/>
      <c r="B356" s="14"/>
      <c r="C356" s="14"/>
      <c r="D356" s="14"/>
    </row>
    <row r="357" spans="1:4" ht="11.25">
      <c r="A357" s="14"/>
      <c r="B357" s="14"/>
      <c r="C357" s="14"/>
      <c r="D357" s="14"/>
    </row>
    <row r="358" spans="1:4" ht="11.25">
      <c r="A358" s="14"/>
      <c r="B358" s="14"/>
      <c r="C358" s="14"/>
      <c r="D358" s="14"/>
    </row>
    <row r="359" spans="1:4" ht="11.25">
      <c r="A359" s="14"/>
      <c r="B359" s="14"/>
      <c r="C359" s="14"/>
      <c r="D359" s="14"/>
    </row>
    <row r="360" spans="1:4" ht="11.25">
      <c r="A360" s="14"/>
      <c r="B360" s="14"/>
      <c r="C360" s="14"/>
      <c r="D360" s="14"/>
    </row>
    <row r="361" spans="1:4" ht="11.25">
      <c r="A361" s="14"/>
      <c r="B361" s="14"/>
      <c r="C361" s="14"/>
      <c r="D361" s="14"/>
    </row>
    <row r="362" spans="1:4" ht="11.25">
      <c r="A362" s="14"/>
      <c r="B362" s="14"/>
      <c r="C362" s="14"/>
      <c r="D362" s="14"/>
    </row>
    <row r="363" spans="1:4" ht="11.25">
      <c r="A363" s="14"/>
      <c r="B363" s="14"/>
      <c r="C363" s="14"/>
      <c r="D363" s="14"/>
    </row>
    <row r="364" spans="1:4" ht="11.25">
      <c r="A364" s="14"/>
      <c r="B364" s="14"/>
      <c r="C364" s="14"/>
      <c r="D364" s="14"/>
    </row>
    <row r="367" spans="1:3" ht="11.25">
      <c r="A367" s="920" t="s">
        <v>152</v>
      </c>
      <c r="B367" s="911"/>
      <c r="C367" s="911"/>
    </row>
    <row r="368" spans="1:3" ht="11.25">
      <c r="A368" s="9" t="s">
        <v>153</v>
      </c>
      <c r="B368" s="9" t="s">
        <v>133</v>
      </c>
      <c r="C368" s="9" t="s">
        <v>138</v>
      </c>
    </row>
    <row r="369" spans="1:3" ht="11.25">
      <c r="A369" s="158">
        <v>0</v>
      </c>
      <c r="B369" s="921"/>
      <c r="C369" s="922" t="s">
        <v>137</v>
      </c>
    </row>
    <row r="370" spans="1:3" ht="11.25">
      <c r="A370" s="158">
        <v>0.03125</v>
      </c>
      <c r="B370" s="921"/>
      <c r="C370" s="922" t="s">
        <v>118</v>
      </c>
    </row>
    <row r="371" spans="1:3" ht="11.25">
      <c r="A371" s="158">
        <v>0.0625</v>
      </c>
      <c r="B371" s="923"/>
      <c r="C371" s="922" t="s">
        <v>118</v>
      </c>
    </row>
    <row r="372" spans="1:3" ht="11.25">
      <c r="A372" s="158">
        <v>0.09375</v>
      </c>
      <c r="B372" s="923"/>
      <c r="C372" s="922" t="s">
        <v>119</v>
      </c>
    </row>
    <row r="373" spans="1:3" ht="11.25">
      <c r="A373" s="158">
        <v>0.125</v>
      </c>
      <c r="B373" s="923"/>
      <c r="C373" s="922" t="s">
        <v>119</v>
      </c>
    </row>
    <row r="374" spans="1:3" ht="11.25">
      <c r="A374" s="158">
        <v>0.15625</v>
      </c>
      <c r="B374" s="923"/>
      <c r="C374" s="922" t="s">
        <v>120</v>
      </c>
    </row>
    <row r="375" spans="1:3" ht="11.25">
      <c r="A375" s="158">
        <v>0.1875</v>
      </c>
      <c r="B375" s="923"/>
      <c r="C375" s="922" t="s">
        <v>120</v>
      </c>
    </row>
    <row r="376" spans="1:3" ht="11.25">
      <c r="A376" s="158">
        <v>0.21875</v>
      </c>
      <c r="B376" s="923"/>
      <c r="C376" s="922" t="s">
        <v>121</v>
      </c>
    </row>
    <row r="377" spans="1:3" ht="11.25">
      <c r="A377" s="158">
        <v>0.25</v>
      </c>
      <c r="B377" s="923"/>
      <c r="C377" s="922" t="s">
        <v>121</v>
      </c>
    </row>
    <row r="378" spans="1:3" ht="11.25">
      <c r="A378" s="158">
        <v>0.28125</v>
      </c>
      <c r="B378" s="923"/>
      <c r="C378" s="922" t="s">
        <v>122</v>
      </c>
    </row>
    <row r="379" spans="1:3" ht="11.25">
      <c r="A379" s="158">
        <v>0.3125</v>
      </c>
      <c r="B379" s="923"/>
      <c r="C379" s="922" t="s">
        <v>122</v>
      </c>
    </row>
    <row r="380" spans="1:3" ht="11.25">
      <c r="A380" s="158">
        <v>0.34375</v>
      </c>
      <c r="B380" s="923"/>
      <c r="C380" s="922" t="s">
        <v>123</v>
      </c>
    </row>
    <row r="381" spans="1:3" ht="11.25">
      <c r="A381" s="158">
        <v>0.375</v>
      </c>
      <c r="B381" s="923"/>
      <c r="C381" s="922" t="s">
        <v>123</v>
      </c>
    </row>
    <row r="382" spans="1:3" ht="11.25">
      <c r="A382" s="158">
        <v>0.40625</v>
      </c>
      <c r="B382" s="923"/>
      <c r="C382" s="922" t="s">
        <v>124</v>
      </c>
    </row>
    <row r="383" spans="1:3" ht="11.25">
      <c r="A383" s="158">
        <v>0.4375</v>
      </c>
      <c r="B383" s="923"/>
      <c r="C383" s="922" t="s">
        <v>124</v>
      </c>
    </row>
    <row r="384" spans="1:3" ht="11.25">
      <c r="A384" s="158">
        <v>0.46875</v>
      </c>
      <c r="B384" s="923"/>
      <c r="C384" s="922" t="s">
        <v>125</v>
      </c>
    </row>
    <row r="385" spans="1:3" ht="11.25">
      <c r="A385" s="158">
        <v>0.5</v>
      </c>
      <c r="B385" s="923"/>
      <c r="C385" s="922" t="s">
        <v>125</v>
      </c>
    </row>
    <row r="386" spans="1:3" ht="11.25">
      <c r="A386" s="158">
        <v>0.53125</v>
      </c>
      <c r="B386" s="923"/>
      <c r="C386" s="922" t="s">
        <v>126</v>
      </c>
    </row>
    <row r="387" spans="1:3" ht="11.25">
      <c r="A387" s="158">
        <v>0.5625</v>
      </c>
      <c r="B387" s="923"/>
      <c r="C387" s="922" t="s">
        <v>126</v>
      </c>
    </row>
    <row r="388" spans="1:3" ht="11.25">
      <c r="A388" s="158">
        <v>0.59375</v>
      </c>
      <c r="B388" s="923"/>
      <c r="C388" s="922" t="s">
        <v>127</v>
      </c>
    </row>
    <row r="389" spans="1:3" ht="11.25">
      <c r="A389" s="158">
        <v>0.625</v>
      </c>
      <c r="B389" s="923"/>
      <c r="C389" s="922" t="s">
        <v>127</v>
      </c>
    </row>
    <row r="390" spans="1:3" ht="11.25">
      <c r="A390" s="158">
        <v>0.65625</v>
      </c>
      <c r="B390" s="923"/>
      <c r="C390" s="922" t="s">
        <v>128</v>
      </c>
    </row>
    <row r="391" spans="1:3" ht="11.25">
      <c r="A391" s="158">
        <v>0.6875</v>
      </c>
      <c r="B391" s="923"/>
      <c r="C391" s="922" t="s">
        <v>128</v>
      </c>
    </row>
    <row r="392" spans="1:3" ht="11.25">
      <c r="A392" s="158">
        <v>0.71875</v>
      </c>
      <c r="B392" s="923"/>
      <c r="C392" s="922" t="s">
        <v>129</v>
      </c>
    </row>
    <row r="393" spans="1:3" ht="11.25">
      <c r="A393" s="158">
        <v>0.75</v>
      </c>
      <c r="B393" s="923"/>
      <c r="C393" s="922" t="s">
        <v>129</v>
      </c>
    </row>
    <row r="394" spans="1:3" ht="11.25">
      <c r="A394" s="158">
        <v>0.78125</v>
      </c>
      <c r="B394" s="923"/>
      <c r="C394" s="922" t="s">
        <v>130</v>
      </c>
    </row>
    <row r="395" spans="1:3" ht="11.25">
      <c r="A395" s="158">
        <v>0.8125</v>
      </c>
      <c r="B395" s="923"/>
      <c r="C395" s="922" t="s">
        <v>130</v>
      </c>
    </row>
    <row r="396" spans="1:3" ht="11.25">
      <c r="A396" s="158">
        <v>0.84375</v>
      </c>
      <c r="B396" s="923"/>
      <c r="C396" s="922" t="s">
        <v>131</v>
      </c>
    </row>
    <row r="397" spans="1:3" ht="11.25">
      <c r="A397" s="158">
        <v>0.875</v>
      </c>
      <c r="B397" s="923"/>
      <c r="C397" s="922" t="s">
        <v>131</v>
      </c>
    </row>
    <row r="398" spans="1:3" ht="11.25">
      <c r="A398" s="158">
        <v>0.90625</v>
      </c>
      <c r="B398" s="923"/>
      <c r="C398" s="922" t="s">
        <v>132</v>
      </c>
    </row>
    <row r="399" spans="1:3" ht="11.25">
      <c r="A399" s="158">
        <v>0.9375</v>
      </c>
      <c r="B399" s="923"/>
      <c r="C399" s="922" t="s">
        <v>132</v>
      </c>
    </row>
    <row r="400" spans="1:3" ht="11.25">
      <c r="A400" s="158">
        <v>0.96875</v>
      </c>
      <c r="B400" s="923"/>
      <c r="C400" s="922" t="s">
        <v>133</v>
      </c>
    </row>
    <row r="401" spans="1:3" ht="11.25">
      <c r="A401" s="158">
        <v>1</v>
      </c>
      <c r="B401" s="923"/>
      <c r="C401" s="922" t="s">
        <v>133</v>
      </c>
    </row>
    <row r="402" spans="1:3" ht="11.25">
      <c r="A402" s="924"/>
      <c r="B402" s="925"/>
      <c r="C402" s="926"/>
    </row>
    <row r="403" spans="1:3" ht="11.25">
      <c r="A403" s="109"/>
      <c r="B403" s="110"/>
      <c r="C403" s="110"/>
    </row>
    <row r="404" ht="11.25">
      <c r="A404" s="111"/>
    </row>
    <row r="405" spans="1:3" ht="11.25">
      <c r="A405" s="927" t="s">
        <v>154</v>
      </c>
      <c r="B405" s="911"/>
      <c r="C405" s="911"/>
    </row>
    <row r="406" spans="1:3" ht="11.25">
      <c r="A406" s="40">
        <v>5</v>
      </c>
      <c r="B406" s="928"/>
      <c r="C406" s="929" t="s">
        <v>139</v>
      </c>
    </row>
    <row r="407" spans="1:3" ht="11.25">
      <c r="A407" s="41">
        <f aca="true" t="shared" si="3" ref="A407:A470">A406+0.0625</f>
        <v>5.0625</v>
      </c>
      <c r="B407" s="921"/>
      <c r="C407" s="930" t="s">
        <v>155</v>
      </c>
    </row>
    <row r="408" spans="1:3" ht="11.25">
      <c r="A408" s="41">
        <f t="shared" si="3"/>
        <v>5.125</v>
      </c>
      <c r="B408" s="921"/>
      <c r="C408" s="930" t="s">
        <v>156</v>
      </c>
    </row>
    <row r="409" spans="1:3" ht="11.25">
      <c r="A409" s="41">
        <f t="shared" si="3"/>
        <v>5.1875</v>
      </c>
      <c r="B409" s="921"/>
      <c r="C409" s="930" t="s">
        <v>157</v>
      </c>
    </row>
    <row r="410" spans="1:3" ht="11.25">
      <c r="A410" s="41">
        <f t="shared" si="3"/>
        <v>5.25</v>
      </c>
      <c r="B410" s="921"/>
      <c r="C410" s="930" t="s">
        <v>158</v>
      </c>
    </row>
    <row r="411" spans="1:3" ht="11.25">
      <c r="A411" s="41">
        <f t="shared" si="3"/>
        <v>5.3125</v>
      </c>
      <c r="B411" s="921"/>
      <c r="C411" s="930" t="s">
        <v>159</v>
      </c>
    </row>
    <row r="412" spans="1:3" ht="11.25">
      <c r="A412" s="41">
        <f t="shared" si="3"/>
        <v>5.375</v>
      </c>
      <c r="B412" s="921"/>
      <c r="C412" s="930" t="s">
        <v>160</v>
      </c>
    </row>
    <row r="413" spans="1:3" ht="11.25">
      <c r="A413" s="41">
        <f t="shared" si="3"/>
        <v>5.4375</v>
      </c>
      <c r="B413" s="921"/>
      <c r="C413" s="930" t="s">
        <v>161</v>
      </c>
    </row>
    <row r="414" spans="1:3" ht="11.25">
      <c r="A414" s="41">
        <f t="shared" si="3"/>
        <v>5.5</v>
      </c>
      <c r="B414" s="921"/>
      <c r="C414" s="930" t="s">
        <v>162</v>
      </c>
    </row>
    <row r="415" spans="1:3" ht="11.25">
      <c r="A415" s="41">
        <f t="shared" si="3"/>
        <v>5.5625</v>
      </c>
      <c r="B415" s="921"/>
      <c r="C415" s="930" t="s">
        <v>163</v>
      </c>
    </row>
    <row r="416" spans="1:3" ht="11.25">
      <c r="A416" s="41">
        <f t="shared" si="3"/>
        <v>5.625</v>
      </c>
      <c r="B416" s="921"/>
      <c r="C416" s="930" t="s">
        <v>164</v>
      </c>
    </row>
    <row r="417" spans="1:3" ht="11.25">
      <c r="A417" s="41">
        <f t="shared" si="3"/>
        <v>5.6875</v>
      </c>
      <c r="B417" s="921"/>
      <c r="C417" s="930" t="s">
        <v>165</v>
      </c>
    </row>
    <row r="418" spans="1:3" ht="11.25">
      <c r="A418" s="41">
        <f t="shared" si="3"/>
        <v>5.75</v>
      </c>
      <c r="B418" s="921"/>
      <c r="C418" s="930" t="s">
        <v>166</v>
      </c>
    </row>
    <row r="419" spans="1:3" ht="11.25">
      <c r="A419" s="41">
        <f t="shared" si="3"/>
        <v>5.8125</v>
      </c>
      <c r="B419" s="921"/>
      <c r="C419" s="930" t="s">
        <v>167</v>
      </c>
    </row>
    <row r="420" spans="1:3" ht="11.25">
      <c r="A420" s="41">
        <f t="shared" si="3"/>
        <v>5.875</v>
      </c>
      <c r="B420" s="921"/>
      <c r="C420" s="930" t="s">
        <v>168</v>
      </c>
    </row>
    <row r="421" spans="1:3" ht="11.25">
      <c r="A421" s="41">
        <f t="shared" si="3"/>
        <v>5.9375</v>
      </c>
      <c r="B421" s="921"/>
      <c r="C421" s="930" t="s">
        <v>169</v>
      </c>
    </row>
    <row r="422" spans="1:3" ht="11.25">
      <c r="A422" s="41">
        <f t="shared" si="3"/>
        <v>6</v>
      </c>
      <c r="B422" s="921"/>
      <c r="C422" s="930" t="s">
        <v>140</v>
      </c>
    </row>
    <row r="423" spans="1:3" ht="11.25">
      <c r="A423" s="41">
        <f t="shared" si="3"/>
        <v>6.0625</v>
      </c>
      <c r="B423" s="921"/>
      <c r="C423" s="930" t="s">
        <v>170</v>
      </c>
    </row>
    <row r="424" spans="1:3" ht="11.25">
      <c r="A424" s="41">
        <f t="shared" si="3"/>
        <v>6.125</v>
      </c>
      <c r="B424" s="921"/>
      <c r="C424" s="930" t="s">
        <v>171</v>
      </c>
    </row>
    <row r="425" spans="1:3" ht="11.25">
      <c r="A425" s="41">
        <f t="shared" si="3"/>
        <v>6.1875</v>
      </c>
      <c r="B425" s="921"/>
      <c r="C425" s="930" t="s">
        <v>172</v>
      </c>
    </row>
    <row r="426" spans="1:3" ht="11.25">
      <c r="A426" s="41">
        <f t="shared" si="3"/>
        <v>6.25</v>
      </c>
      <c r="B426" s="921"/>
      <c r="C426" s="930" t="s">
        <v>173</v>
      </c>
    </row>
    <row r="427" spans="1:3" ht="11.25">
      <c r="A427" s="41">
        <f t="shared" si="3"/>
        <v>6.3125</v>
      </c>
      <c r="B427" s="921"/>
      <c r="C427" s="930" t="s">
        <v>174</v>
      </c>
    </row>
    <row r="428" spans="1:3" ht="11.25">
      <c r="A428" s="41">
        <f t="shared" si="3"/>
        <v>6.375</v>
      </c>
      <c r="B428" s="921"/>
      <c r="C428" s="930" t="s">
        <v>175</v>
      </c>
    </row>
    <row r="429" spans="1:3" ht="11.25">
      <c r="A429" s="41">
        <f t="shared" si="3"/>
        <v>6.4375</v>
      </c>
      <c r="B429" s="921"/>
      <c r="C429" s="930" t="s">
        <v>176</v>
      </c>
    </row>
    <row r="430" spans="1:3" ht="11.25">
      <c r="A430" s="41">
        <f t="shared" si="3"/>
        <v>6.5</v>
      </c>
      <c r="B430" s="921"/>
      <c r="C430" s="930" t="s">
        <v>177</v>
      </c>
    </row>
    <row r="431" spans="1:3" ht="11.25">
      <c r="A431" s="41">
        <f t="shared" si="3"/>
        <v>6.5625</v>
      </c>
      <c r="B431" s="921"/>
      <c r="C431" s="930" t="s">
        <v>178</v>
      </c>
    </row>
    <row r="432" spans="1:3" ht="11.25">
      <c r="A432" s="41">
        <f t="shared" si="3"/>
        <v>6.625</v>
      </c>
      <c r="B432" s="921"/>
      <c r="C432" s="930" t="s">
        <v>179</v>
      </c>
    </row>
    <row r="433" spans="1:3" ht="11.25">
      <c r="A433" s="41">
        <f t="shared" si="3"/>
        <v>6.6875</v>
      </c>
      <c r="B433" s="921"/>
      <c r="C433" s="930" t="s">
        <v>180</v>
      </c>
    </row>
    <row r="434" spans="1:3" ht="11.25">
      <c r="A434" s="41">
        <f t="shared" si="3"/>
        <v>6.75</v>
      </c>
      <c r="B434" s="921"/>
      <c r="C434" s="930" t="s">
        <v>181</v>
      </c>
    </row>
    <row r="435" spans="1:3" ht="11.25">
      <c r="A435" s="41">
        <f t="shared" si="3"/>
        <v>6.8125</v>
      </c>
      <c r="B435" s="921"/>
      <c r="C435" s="930" t="s">
        <v>182</v>
      </c>
    </row>
    <row r="436" spans="1:3" ht="11.25">
      <c r="A436" s="41">
        <f t="shared" si="3"/>
        <v>6.875</v>
      </c>
      <c r="B436" s="921"/>
      <c r="C436" s="930" t="s">
        <v>183</v>
      </c>
    </row>
    <row r="437" spans="1:3" ht="11.25">
      <c r="A437" s="41">
        <f t="shared" si="3"/>
        <v>6.9375</v>
      </c>
      <c r="B437" s="921"/>
      <c r="C437" s="930" t="s">
        <v>184</v>
      </c>
    </row>
    <row r="438" spans="1:3" ht="11.25">
      <c r="A438" s="41">
        <f t="shared" si="3"/>
        <v>7</v>
      </c>
      <c r="B438" s="921"/>
      <c r="C438" s="930" t="s">
        <v>141</v>
      </c>
    </row>
    <row r="439" spans="1:3" ht="11.25">
      <c r="A439" s="41">
        <f t="shared" si="3"/>
        <v>7.0625</v>
      </c>
      <c r="B439" s="921"/>
      <c r="C439" s="930" t="s">
        <v>185</v>
      </c>
    </row>
    <row r="440" spans="1:3" ht="11.25">
      <c r="A440" s="41">
        <f t="shared" si="3"/>
        <v>7.125</v>
      </c>
      <c r="B440" s="921"/>
      <c r="C440" s="930" t="s">
        <v>186</v>
      </c>
    </row>
    <row r="441" spans="1:3" ht="11.25">
      <c r="A441" s="41">
        <f t="shared" si="3"/>
        <v>7.1875</v>
      </c>
      <c r="B441" s="921"/>
      <c r="C441" s="930" t="s">
        <v>187</v>
      </c>
    </row>
    <row r="442" spans="1:3" ht="11.25">
      <c r="A442" s="41">
        <f t="shared" si="3"/>
        <v>7.25</v>
      </c>
      <c r="B442" s="921"/>
      <c r="C442" s="930" t="s">
        <v>188</v>
      </c>
    </row>
    <row r="443" spans="1:3" ht="11.25">
      <c r="A443" s="41">
        <f t="shared" si="3"/>
        <v>7.3125</v>
      </c>
      <c r="B443" s="921"/>
      <c r="C443" s="930" t="s">
        <v>189</v>
      </c>
    </row>
    <row r="444" spans="1:3" ht="11.25">
      <c r="A444" s="41">
        <f t="shared" si="3"/>
        <v>7.375</v>
      </c>
      <c r="B444" s="921"/>
      <c r="C444" s="930" t="s">
        <v>190</v>
      </c>
    </row>
    <row r="445" spans="1:3" ht="11.25">
      <c r="A445" s="41">
        <f t="shared" si="3"/>
        <v>7.4375</v>
      </c>
      <c r="B445" s="921"/>
      <c r="C445" s="930" t="s">
        <v>191</v>
      </c>
    </row>
    <row r="446" spans="1:3" ht="11.25">
      <c r="A446" s="41">
        <f t="shared" si="3"/>
        <v>7.5</v>
      </c>
      <c r="B446" s="921"/>
      <c r="C446" s="930" t="s">
        <v>192</v>
      </c>
    </row>
    <row r="447" spans="1:3" ht="11.25">
      <c r="A447" s="41">
        <f t="shared" si="3"/>
        <v>7.5625</v>
      </c>
      <c r="B447" s="921"/>
      <c r="C447" s="930" t="s">
        <v>193</v>
      </c>
    </row>
    <row r="448" spans="1:3" ht="11.25">
      <c r="A448" s="41">
        <f t="shared" si="3"/>
        <v>7.625</v>
      </c>
      <c r="B448" s="921"/>
      <c r="C448" s="930" t="s">
        <v>194</v>
      </c>
    </row>
    <row r="449" spans="1:3" ht="11.25">
      <c r="A449" s="41">
        <f t="shared" si="3"/>
        <v>7.6875</v>
      </c>
      <c r="B449" s="921"/>
      <c r="C449" s="930" t="s">
        <v>195</v>
      </c>
    </row>
    <row r="450" spans="1:3" ht="11.25">
      <c r="A450" s="41">
        <f t="shared" si="3"/>
        <v>7.75</v>
      </c>
      <c r="B450" s="921"/>
      <c r="C450" s="930" t="s">
        <v>196</v>
      </c>
    </row>
    <row r="451" spans="1:3" ht="11.25">
      <c r="A451" s="41">
        <f t="shared" si="3"/>
        <v>7.8125</v>
      </c>
      <c r="B451" s="921"/>
      <c r="C451" s="930" t="s">
        <v>197</v>
      </c>
    </row>
    <row r="452" spans="1:7" ht="11.25">
      <c r="A452" s="41">
        <f t="shared" si="3"/>
        <v>7.875</v>
      </c>
      <c r="B452" s="921"/>
      <c r="C452" s="930" t="s">
        <v>198</v>
      </c>
      <c r="F452" s="107"/>
      <c r="G452" s="107"/>
    </row>
    <row r="453" spans="1:7" ht="11.25">
      <c r="A453" s="41">
        <f t="shared" si="3"/>
        <v>7.9375</v>
      </c>
      <c r="B453" s="921"/>
      <c r="C453" s="930" t="s">
        <v>199</v>
      </c>
      <c r="F453" s="107"/>
      <c r="G453" s="107"/>
    </row>
    <row r="454" spans="1:3" ht="11.25">
      <c r="A454" s="41">
        <f t="shared" si="3"/>
        <v>8</v>
      </c>
      <c r="B454" s="921"/>
      <c r="C454" s="930" t="s">
        <v>142</v>
      </c>
    </row>
    <row r="455" spans="1:3" ht="11.25">
      <c r="A455" s="41">
        <f t="shared" si="3"/>
        <v>8.0625</v>
      </c>
      <c r="B455" s="921"/>
      <c r="C455" s="930" t="s">
        <v>200</v>
      </c>
    </row>
    <row r="456" spans="1:3" ht="11.25">
      <c r="A456" s="41">
        <f t="shared" si="3"/>
        <v>8.125</v>
      </c>
      <c r="B456" s="921"/>
      <c r="C456" s="930" t="s">
        <v>201</v>
      </c>
    </row>
    <row r="457" spans="1:3" ht="11.25">
      <c r="A457" s="41">
        <f t="shared" si="3"/>
        <v>8.1875</v>
      </c>
      <c r="B457" s="921"/>
      <c r="C457" s="930" t="s">
        <v>202</v>
      </c>
    </row>
    <row r="458" spans="1:3" ht="11.25">
      <c r="A458" s="41">
        <f t="shared" si="3"/>
        <v>8.25</v>
      </c>
      <c r="B458" s="921"/>
      <c r="C458" s="930" t="s">
        <v>203</v>
      </c>
    </row>
    <row r="459" spans="1:3" ht="11.25">
      <c r="A459" s="41">
        <f t="shared" si="3"/>
        <v>8.3125</v>
      </c>
      <c r="B459" s="921"/>
      <c r="C459" s="930" t="s">
        <v>204</v>
      </c>
    </row>
    <row r="460" spans="1:3" ht="11.25">
      <c r="A460" s="41">
        <f t="shared" si="3"/>
        <v>8.375</v>
      </c>
      <c r="B460" s="921"/>
      <c r="C460" s="930" t="s">
        <v>205</v>
      </c>
    </row>
    <row r="461" spans="1:3" ht="11.25">
      <c r="A461" s="41">
        <f t="shared" si="3"/>
        <v>8.4375</v>
      </c>
      <c r="B461" s="921"/>
      <c r="C461" s="930" t="s">
        <v>206</v>
      </c>
    </row>
    <row r="462" spans="1:3" ht="11.25">
      <c r="A462" s="41">
        <f t="shared" si="3"/>
        <v>8.5</v>
      </c>
      <c r="B462" s="921"/>
      <c r="C462" s="930" t="s">
        <v>207</v>
      </c>
    </row>
    <row r="463" spans="1:3" ht="11.25">
      <c r="A463" s="41">
        <f t="shared" si="3"/>
        <v>8.5625</v>
      </c>
      <c r="B463" s="921"/>
      <c r="C463" s="930" t="s">
        <v>208</v>
      </c>
    </row>
    <row r="464" spans="1:3" ht="11.25">
      <c r="A464" s="41">
        <f t="shared" si="3"/>
        <v>8.625</v>
      </c>
      <c r="B464" s="921"/>
      <c r="C464" s="930" t="s">
        <v>209</v>
      </c>
    </row>
    <row r="465" spans="1:3" ht="11.25">
      <c r="A465" s="41">
        <f t="shared" si="3"/>
        <v>8.6875</v>
      </c>
      <c r="B465" s="921"/>
      <c r="C465" s="930" t="s">
        <v>210</v>
      </c>
    </row>
    <row r="466" spans="1:3" ht="11.25">
      <c r="A466" s="41">
        <f t="shared" si="3"/>
        <v>8.75</v>
      </c>
      <c r="B466" s="921"/>
      <c r="C466" s="930" t="s">
        <v>211</v>
      </c>
    </row>
    <row r="467" spans="1:3" ht="11.25">
      <c r="A467" s="41">
        <f t="shared" si="3"/>
        <v>8.8125</v>
      </c>
      <c r="B467" s="921"/>
      <c r="C467" s="930" t="s">
        <v>212</v>
      </c>
    </row>
    <row r="468" spans="1:3" ht="11.25">
      <c r="A468" s="41">
        <f t="shared" si="3"/>
        <v>8.875</v>
      </c>
      <c r="B468" s="921"/>
      <c r="C468" s="930" t="s">
        <v>213</v>
      </c>
    </row>
    <row r="469" spans="1:3" ht="11.25">
      <c r="A469" s="41">
        <f t="shared" si="3"/>
        <v>8.9375</v>
      </c>
      <c r="B469" s="921"/>
      <c r="C469" s="930" t="s">
        <v>214</v>
      </c>
    </row>
    <row r="470" spans="1:3" ht="11.25">
      <c r="A470" s="41">
        <f t="shared" si="3"/>
        <v>9</v>
      </c>
      <c r="B470" s="921"/>
      <c r="C470" s="930" t="s">
        <v>143</v>
      </c>
    </row>
    <row r="471" spans="1:3" ht="11.25">
      <c r="A471" s="41">
        <f aca="true" t="shared" si="4" ref="A471:A534">A470+0.0625</f>
        <v>9.0625</v>
      </c>
      <c r="B471" s="921"/>
      <c r="C471" s="930" t="s">
        <v>215</v>
      </c>
    </row>
    <row r="472" spans="1:3" ht="11.25">
      <c r="A472" s="41">
        <f t="shared" si="4"/>
        <v>9.125</v>
      </c>
      <c r="B472" s="921"/>
      <c r="C472" s="930" t="s">
        <v>216</v>
      </c>
    </row>
    <row r="473" spans="1:3" ht="11.25">
      <c r="A473" s="41">
        <f t="shared" si="4"/>
        <v>9.1875</v>
      </c>
      <c r="B473" s="921"/>
      <c r="C473" s="930" t="s">
        <v>217</v>
      </c>
    </row>
    <row r="474" spans="1:3" ht="11.25">
      <c r="A474" s="41">
        <f t="shared" si="4"/>
        <v>9.25</v>
      </c>
      <c r="B474" s="921"/>
      <c r="C474" s="930" t="s">
        <v>218</v>
      </c>
    </row>
    <row r="475" spans="1:3" ht="11.25">
      <c r="A475" s="41">
        <f t="shared" si="4"/>
        <v>9.3125</v>
      </c>
      <c r="B475" s="921"/>
      <c r="C475" s="930" t="s">
        <v>219</v>
      </c>
    </row>
    <row r="476" spans="1:3" ht="11.25">
      <c r="A476" s="41">
        <f t="shared" si="4"/>
        <v>9.375</v>
      </c>
      <c r="B476" s="921"/>
      <c r="C476" s="930" t="s">
        <v>220</v>
      </c>
    </row>
    <row r="477" spans="1:3" ht="11.25">
      <c r="A477" s="41">
        <f t="shared" si="4"/>
        <v>9.4375</v>
      </c>
      <c r="B477" s="921"/>
      <c r="C477" s="930" t="s">
        <v>221</v>
      </c>
    </row>
    <row r="478" spans="1:3" ht="11.25">
      <c r="A478" s="41">
        <f t="shared" si="4"/>
        <v>9.5</v>
      </c>
      <c r="B478" s="921"/>
      <c r="C478" s="930" t="s">
        <v>222</v>
      </c>
    </row>
    <row r="479" spans="1:3" ht="11.25">
      <c r="A479" s="41">
        <f t="shared" si="4"/>
        <v>9.5625</v>
      </c>
      <c r="B479" s="921"/>
      <c r="C479" s="930" t="s">
        <v>223</v>
      </c>
    </row>
    <row r="480" spans="1:3" ht="11.25">
      <c r="A480" s="41">
        <f t="shared" si="4"/>
        <v>9.625</v>
      </c>
      <c r="B480" s="921"/>
      <c r="C480" s="930" t="s">
        <v>224</v>
      </c>
    </row>
    <row r="481" spans="1:3" ht="11.25">
      <c r="A481" s="41">
        <f t="shared" si="4"/>
        <v>9.6875</v>
      </c>
      <c r="B481" s="921"/>
      <c r="C481" s="930" t="s">
        <v>225</v>
      </c>
    </row>
    <row r="482" spans="1:3" ht="11.25">
      <c r="A482" s="41">
        <f t="shared" si="4"/>
        <v>9.75</v>
      </c>
      <c r="B482" s="921"/>
      <c r="C482" s="930" t="s">
        <v>226</v>
      </c>
    </row>
    <row r="483" spans="1:3" ht="11.25">
      <c r="A483" s="41">
        <f t="shared" si="4"/>
        <v>9.8125</v>
      </c>
      <c r="B483" s="921"/>
      <c r="C483" s="930" t="s">
        <v>227</v>
      </c>
    </row>
    <row r="484" spans="1:3" ht="11.25">
      <c r="A484" s="41">
        <f t="shared" si="4"/>
        <v>9.875</v>
      </c>
      <c r="B484" s="921"/>
      <c r="C484" s="930" t="s">
        <v>228</v>
      </c>
    </row>
    <row r="485" spans="1:3" ht="11.25">
      <c r="A485" s="41">
        <f t="shared" si="4"/>
        <v>9.9375</v>
      </c>
      <c r="B485" s="921"/>
      <c r="C485" s="930" t="s">
        <v>229</v>
      </c>
    </row>
    <row r="486" spans="1:3" ht="11.25">
      <c r="A486" s="41">
        <f t="shared" si="4"/>
        <v>10</v>
      </c>
      <c r="B486" s="921"/>
      <c r="C486" s="930" t="s">
        <v>230</v>
      </c>
    </row>
    <row r="487" spans="1:3" ht="11.25">
      <c r="A487" s="41">
        <f t="shared" si="4"/>
        <v>10.0625</v>
      </c>
      <c r="B487" s="921"/>
      <c r="C487" s="930" t="s">
        <v>231</v>
      </c>
    </row>
    <row r="488" spans="1:3" ht="11.25">
      <c r="A488" s="41">
        <f t="shared" si="4"/>
        <v>10.125</v>
      </c>
      <c r="B488" s="921"/>
      <c r="C488" s="930" t="s">
        <v>232</v>
      </c>
    </row>
    <row r="489" spans="1:3" ht="11.25">
      <c r="A489" s="41">
        <f t="shared" si="4"/>
        <v>10.1875</v>
      </c>
      <c r="B489" s="921"/>
      <c r="C489" s="930" t="s">
        <v>233</v>
      </c>
    </row>
    <row r="490" spans="1:3" ht="11.25">
      <c r="A490" s="41">
        <f t="shared" si="4"/>
        <v>10.25</v>
      </c>
      <c r="B490" s="921"/>
      <c r="C490" s="930" t="s">
        <v>234</v>
      </c>
    </row>
    <row r="491" spans="1:3" ht="11.25">
      <c r="A491" s="41">
        <f t="shared" si="4"/>
        <v>10.3125</v>
      </c>
      <c r="B491" s="921"/>
      <c r="C491" s="930" t="s">
        <v>235</v>
      </c>
    </row>
    <row r="492" spans="1:3" ht="11.25">
      <c r="A492" s="41">
        <f t="shared" si="4"/>
        <v>10.375</v>
      </c>
      <c r="B492" s="921"/>
      <c r="C492" s="930" t="s">
        <v>236</v>
      </c>
    </row>
    <row r="493" spans="1:3" ht="11.25">
      <c r="A493" s="41">
        <f t="shared" si="4"/>
        <v>10.4375</v>
      </c>
      <c r="B493" s="921"/>
      <c r="C493" s="930" t="s">
        <v>237</v>
      </c>
    </row>
    <row r="494" spans="1:3" ht="11.25">
      <c r="A494" s="41">
        <f t="shared" si="4"/>
        <v>10.5</v>
      </c>
      <c r="B494" s="921"/>
      <c r="C494" s="930" t="s">
        <v>238</v>
      </c>
    </row>
    <row r="495" spans="1:3" ht="11.25">
      <c r="A495" s="41">
        <f t="shared" si="4"/>
        <v>10.5625</v>
      </c>
      <c r="B495" s="921"/>
      <c r="C495" s="930" t="s">
        <v>239</v>
      </c>
    </row>
    <row r="496" spans="1:3" ht="11.25">
      <c r="A496" s="41">
        <f t="shared" si="4"/>
        <v>10.625</v>
      </c>
      <c r="B496" s="921"/>
      <c r="C496" s="930" t="s">
        <v>240</v>
      </c>
    </row>
    <row r="497" spans="1:3" ht="11.25">
      <c r="A497" s="41">
        <f t="shared" si="4"/>
        <v>10.6875</v>
      </c>
      <c r="B497" s="921"/>
      <c r="C497" s="930" t="s">
        <v>241</v>
      </c>
    </row>
    <row r="498" spans="1:3" ht="11.25">
      <c r="A498" s="41">
        <f t="shared" si="4"/>
        <v>10.75</v>
      </c>
      <c r="B498" s="921"/>
      <c r="C498" s="930" t="s">
        <v>242</v>
      </c>
    </row>
    <row r="499" spans="1:3" ht="11.25">
      <c r="A499" s="41">
        <f t="shared" si="4"/>
        <v>10.8125</v>
      </c>
      <c r="B499" s="921"/>
      <c r="C499" s="930" t="s">
        <v>243</v>
      </c>
    </row>
    <row r="500" spans="1:3" ht="11.25">
      <c r="A500" s="41">
        <f t="shared" si="4"/>
        <v>10.875</v>
      </c>
      <c r="B500" s="921"/>
      <c r="C500" s="930" t="s">
        <v>244</v>
      </c>
    </row>
    <row r="501" spans="1:3" ht="11.25">
      <c r="A501" s="41">
        <f t="shared" si="4"/>
        <v>10.9375</v>
      </c>
      <c r="B501" s="921"/>
      <c r="C501" s="930" t="s">
        <v>245</v>
      </c>
    </row>
    <row r="502" spans="1:3" ht="11.25">
      <c r="A502" s="41">
        <f t="shared" si="4"/>
        <v>11</v>
      </c>
      <c r="B502" s="921"/>
      <c r="C502" s="930" t="s">
        <v>246</v>
      </c>
    </row>
    <row r="503" spans="1:3" ht="11.25">
      <c r="A503" s="41">
        <f t="shared" si="4"/>
        <v>11.0625</v>
      </c>
      <c r="B503" s="921"/>
      <c r="C503" s="930" t="s">
        <v>247</v>
      </c>
    </row>
    <row r="504" spans="1:3" ht="11.25">
      <c r="A504" s="41">
        <f t="shared" si="4"/>
        <v>11.125</v>
      </c>
      <c r="B504" s="921"/>
      <c r="C504" s="930" t="s">
        <v>248</v>
      </c>
    </row>
    <row r="505" spans="1:3" ht="11.25">
      <c r="A505" s="41">
        <f t="shared" si="4"/>
        <v>11.1875</v>
      </c>
      <c r="B505" s="921"/>
      <c r="C505" s="930" t="s">
        <v>249</v>
      </c>
    </row>
    <row r="506" spans="1:3" ht="11.25">
      <c r="A506" s="41">
        <f t="shared" si="4"/>
        <v>11.25</v>
      </c>
      <c r="B506" s="921"/>
      <c r="C506" s="930" t="s">
        <v>250</v>
      </c>
    </row>
    <row r="507" spans="1:3" ht="11.25">
      <c r="A507" s="41">
        <f t="shared" si="4"/>
        <v>11.3125</v>
      </c>
      <c r="B507" s="921"/>
      <c r="C507" s="930" t="s">
        <v>251</v>
      </c>
    </row>
    <row r="508" spans="1:3" ht="11.25">
      <c r="A508" s="41">
        <f t="shared" si="4"/>
        <v>11.375</v>
      </c>
      <c r="B508" s="921"/>
      <c r="C508" s="930" t="s">
        <v>252</v>
      </c>
    </row>
    <row r="509" spans="1:3" ht="11.25">
      <c r="A509" s="41">
        <f t="shared" si="4"/>
        <v>11.4375</v>
      </c>
      <c r="B509" s="921"/>
      <c r="C509" s="930" t="s">
        <v>253</v>
      </c>
    </row>
    <row r="510" spans="1:3" ht="11.25">
      <c r="A510" s="41">
        <f t="shared" si="4"/>
        <v>11.5</v>
      </c>
      <c r="B510" s="921"/>
      <c r="C510" s="930" t="s">
        <v>254</v>
      </c>
    </row>
    <row r="511" spans="1:3" ht="11.25">
      <c r="A511" s="41">
        <f t="shared" si="4"/>
        <v>11.5625</v>
      </c>
      <c r="B511" s="921"/>
      <c r="C511" s="930" t="s">
        <v>255</v>
      </c>
    </row>
    <row r="512" spans="1:3" ht="11.25">
      <c r="A512" s="41">
        <f t="shared" si="4"/>
        <v>11.625</v>
      </c>
      <c r="B512" s="921"/>
      <c r="C512" s="930" t="s">
        <v>256</v>
      </c>
    </row>
    <row r="513" spans="1:3" ht="11.25">
      <c r="A513" s="41">
        <f t="shared" si="4"/>
        <v>11.6875</v>
      </c>
      <c r="B513" s="921"/>
      <c r="C513" s="930" t="s">
        <v>257</v>
      </c>
    </row>
    <row r="514" spans="1:3" ht="11.25">
      <c r="A514" s="41">
        <f t="shared" si="4"/>
        <v>11.75</v>
      </c>
      <c r="B514" s="921"/>
      <c r="C514" s="930" t="s">
        <v>258</v>
      </c>
    </row>
    <row r="515" spans="1:3" ht="11.25">
      <c r="A515" s="41">
        <f t="shared" si="4"/>
        <v>11.8125</v>
      </c>
      <c r="B515" s="921"/>
      <c r="C515" s="930" t="s">
        <v>259</v>
      </c>
    </row>
    <row r="516" spans="1:3" ht="11.25">
      <c r="A516" s="41">
        <f t="shared" si="4"/>
        <v>11.875</v>
      </c>
      <c r="B516" s="921"/>
      <c r="C516" s="930" t="s">
        <v>260</v>
      </c>
    </row>
    <row r="517" spans="1:3" ht="11.25">
      <c r="A517" s="41">
        <f t="shared" si="4"/>
        <v>11.9375</v>
      </c>
      <c r="B517" s="921"/>
      <c r="C517" s="930" t="s">
        <v>261</v>
      </c>
    </row>
    <row r="518" spans="1:3" ht="11.25">
      <c r="A518" s="41">
        <f t="shared" si="4"/>
        <v>12</v>
      </c>
      <c r="B518" s="921"/>
      <c r="C518" s="930" t="s">
        <v>262</v>
      </c>
    </row>
    <row r="519" spans="1:3" ht="11.25">
      <c r="A519" s="41">
        <f t="shared" si="4"/>
        <v>12.0625</v>
      </c>
      <c r="B519" s="921"/>
      <c r="C519" s="930" t="s">
        <v>263</v>
      </c>
    </row>
    <row r="520" spans="1:3" ht="11.25">
      <c r="A520" s="41">
        <f t="shared" si="4"/>
        <v>12.125</v>
      </c>
      <c r="B520" s="921"/>
      <c r="C520" s="930" t="s">
        <v>264</v>
      </c>
    </row>
    <row r="521" spans="1:3" ht="11.25">
      <c r="A521" s="41">
        <f t="shared" si="4"/>
        <v>12.1875</v>
      </c>
      <c r="B521" s="921"/>
      <c r="C521" s="930" t="s">
        <v>265</v>
      </c>
    </row>
    <row r="522" spans="1:3" ht="11.25">
      <c r="A522" s="41">
        <f t="shared" si="4"/>
        <v>12.25</v>
      </c>
      <c r="B522" s="921"/>
      <c r="C522" s="930" t="s">
        <v>266</v>
      </c>
    </row>
    <row r="523" spans="1:3" ht="11.25">
      <c r="A523" s="41">
        <f t="shared" si="4"/>
        <v>12.3125</v>
      </c>
      <c r="B523" s="921"/>
      <c r="C523" s="930" t="s">
        <v>267</v>
      </c>
    </row>
    <row r="524" spans="1:3" ht="11.25">
      <c r="A524" s="41">
        <f t="shared" si="4"/>
        <v>12.375</v>
      </c>
      <c r="B524" s="921"/>
      <c r="C524" s="930" t="s">
        <v>268</v>
      </c>
    </row>
    <row r="525" spans="1:3" ht="11.25">
      <c r="A525" s="41">
        <f t="shared" si="4"/>
        <v>12.4375</v>
      </c>
      <c r="B525" s="921"/>
      <c r="C525" s="930" t="s">
        <v>269</v>
      </c>
    </row>
    <row r="526" spans="1:3" ht="11.25">
      <c r="A526" s="41">
        <f t="shared" si="4"/>
        <v>12.5</v>
      </c>
      <c r="B526" s="921"/>
      <c r="C526" s="930" t="s">
        <v>270</v>
      </c>
    </row>
    <row r="527" spans="1:3" ht="11.25">
      <c r="A527" s="41">
        <f t="shared" si="4"/>
        <v>12.5625</v>
      </c>
      <c r="B527" s="921"/>
      <c r="C527" s="930" t="s">
        <v>271</v>
      </c>
    </row>
    <row r="528" spans="1:3" ht="11.25">
      <c r="A528" s="41">
        <f t="shared" si="4"/>
        <v>12.625</v>
      </c>
      <c r="B528" s="921"/>
      <c r="C528" s="930" t="s">
        <v>272</v>
      </c>
    </row>
    <row r="529" spans="1:3" ht="11.25">
      <c r="A529" s="41">
        <f t="shared" si="4"/>
        <v>12.6875</v>
      </c>
      <c r="B529" s="921"/>
      <c r="C529" s="930" t="s">
        <v>273</v>
      </c>
    </row>
    <row r="530" spans="1:3" ht="11.25">
      <c r="A530" s="41">
        <f t="shared" si="4"/>
        <v>12.75</v>
      </c>
      <c r="B530" s="921"/>
      <c r="C530" s="930" t="s">
        <v>274</v>
      </c>
    </row>
    <row r="531" spans="1:3" ht="11.25">
      <c r="A531" s="41">
        <f t="shared" si="4"/>
        <v>12.8125</v>
      </c>
      <c r="B531" s="921"/>
      <c r="C531" s="930" t="s">
        <v>275</v>
      </c>
    </row>
    <row r="532" spans="1:3" ht="11.25">
      <c r="A532" s="41">
        <f t="shared" si="4"/>
        <v>12.875</v>
      </c>
      <c r="B532" s="921"/>
      <c r="C532" s="930" t="s">
        <v>276</v>
      </c>
    </row>
    <row r="533" spans="1:3" ht="11.25">
      <c r="A533" s="41">
        <f t="shared" si="4"/>
        <v>12.9375</v>
      </c>
      <c r="B533" s="921"/>
      <c r="C533" s="930" t="s">
        <v>277</v>
      </c>
    </row>
    <row r="534" spans="1:3" ht="11.25">
      <c r="A534" s="41">
        <f t="shared" si="4"/>
        <v>13</v>
      </c>
      <c r="B534" s="921"/>
      <c r="C534" s="930" t="s">
        <v>278</v>
      </c>
    </row>
    <row r="535" spans="1:3" ht="11.25">
      <c r="A535" s="41">
        <f aca="true" t="shared" si="5" ref="A535:A598">A534+0.0625</f>
        <v>13.0625</v>
      </c>
      <c r="B535" s="921"/>
      <c r="C535" s="930" t="s">
        <v>279</v>
      </c>
    </row>
    <row r="536" spans="1:3" ht="11.25">
      <c r="A536" s="41">
        <f t="shared" si="5"/>
        <v>13.125</v>
      </c>
      <c r="B536" s="921"/>
      <c r="C536" s="930" t="s">
        <v>280</v>
      </c>
    </row>
    <row r="537" spans="1:3" ht="11.25">
      <c r="A537" s="41">
        <f t="shared" si="5"/>
        <v>13.1875</v>
      </c>
      <c r="B537" s="921"/>
      <c r="C537" s="930" t="s">
        <v>281</v>
      </c>
    </row>
    <row r="538" spans="1:3" ht="11.25">
      <c r="A538" s="41">
        <f t="shared" si="5"/>
        <v>13.25</v>
      </c>
      <c r="B538" s="921"/>
      <c r="C538" s="930" t="s">
        <v>282</v>
      </c>
    </row>
    <row r="539" spans="1:3" ht="11.25">
      <c r="A539" s="41">
        <f t="shared" si="5"/>
        <v>13.3125</v>
      </c>
      <c r="B539" s="921"/>
      <c r="C539" s="930" t="s">
        <v>283</v>
      </c>
    </row>
    <row r="540" spans="1:3" ht="11.25">
      <c r="A540" s="41">
        <f t="shared" si="5"/>
        <v>13.375</v>
      </c>
      <c r="B540" s="921"/>
      <c r="C540" s="930" t="s">
        <v>284</v>
      </c>
    </row>
    <row r="541" spans="1:3" ht="11.25">
      <c r="A541" s="41">
        <f t="shared" si="5"/>
        <v>13.4375</v>
      </c>
      <c r="B541" s="921"/>
      <c r="C541" s="930" t="s">
        <v>285</v>
      </c>
    </row>
    <row r="542" spans="1:3" ht="11.25">
      <c r="A542" s="41">
        <f t="shared" si="5"/>
        <v>13.5</v>
      </c>
      <c r="B542" s="921"/>
      <c r="C542" s="930" t="s">
        <v>286</v>
      </c>
    </row>
    <row r="543" spans="1:3" ht="11.25">
      <c r="A543" s="41">
        <f t="shared" si="5"/>
        <v>13.5625</v>
      </c>
      <c r="B543" s="921"/>
      <c r="C543" s="930" t="s">
        <v>287</v>
      </c>
    </row>
    <row r="544" spans="1:3" ht="11.25">
      <c r="A544" s="41">
        <f t="shared" si="5"/>
        <v>13.625</v>
      </c>
      <c r="B544" s="921"/>
      <c r="C544" s="930" t="s">
        <v>288</v>
      </c>
    </row>
    <row r="545" spans="1:3" ht="11.25">
      <c r="A545" s="41">
        <f t="shared" si="5"/>
        <v>13.6875</v>
      </c>
      <c r="B545" s="921"/>
      <c r="C545" s="930" t="s">
        <v>289</v>
      </c>
    </row>
    <row r="546" spans="1:3" ht="11.25">
      <c r="A546" s="41">
        <f t="shared" si="5"/>
        <v>13.75</v>
      </c>
      <c r="B546" s="921"/>
      <c r="C546" s="930" t="s">
        <v>290</v>
      </c>
    </row>
    <row r="547" spans="1:3" ht="11.25">
      <c r="A547" s="41">
        <f t="shared" si="5"/>
        <v>13.8125</v>
      </c>
      <c r="B547" s="921"/>
      <c r="C547" s="930" t="s">
        <v>291</v>
      </c>
    </row>
    <row r="548" spans="1:3" ht="11.25">
      <c r="A548" s="41">
        <f t="shared" si="5"/>
        <v>13.875</v>
      </c>
      <c r="B548" s="921"/>
      <c r="C548" s="930" t="s">
        <v>292</v>
      </c>
    </row>
    <row r="549" spans="1:3" ht="11.25">
      <c r="A549" s="41">
        <f t="shared" si="5"/>
        <v>13.9375</v>
      </c>
      <c r="B549" s="921"/>
      <c r="C549" s="930" t="s">
        <v>293</v>
      </c>
    </row>
    <row r="550" spans="1:3" ht="11.25">
      <c r="A550" s="41">
        <f t="shared" si="5"/>
        <v>14</v>
      </c>
      <c r="B550" s="921"/>
      <c r="C550" s="930" t="s">
        <v>294</v>
      </c>
    </row>
    <row r="551" spans="1:3" ht="11.25">
      <c r="A551" s="41">
        <f t="shared" si="5"/>
        <v>14.0625</v>
      </c>
      <c r="B551" s="921"/>
      <c r="C551" s="930" t="s">
        <v>295</v>
      </c>
    </row>
    <row r="552" spans="1:3" ht="11.25">
      <c r="A552" s="41">
        <f t="shared" si="5"/>
        <v>14.125</v>
      </c>
      <c r="B552" s="921"/>
      <c r="C552" s="930" t="s">
        <v>296</v>
      </c>
    </row>
    <row r="553" spans="1:3" ht="11.25">
      <c r="A553" s="41">
        <f t="shared" si="5"/>
        <v>14.1875</v>
      </c>
      <c r="B553" s="921"/>
      <c r="C553" s="930" t="s">
        <v>297</v>
      </c>
    </row>
    <row r="554" spans="1:3" ht="11.25">
      <c r="A554" s="41">
        <f t="shared" si="5"/>
        <v>14.25</v>
      </c>
      <c r="B554" s="921"/>
      <c r="C554" s="930" t="s">
        <v>298</v>
      </c>
    </row>
    <row r="555" spans="1:3" ht="11.25">
      <c r="A555" s="41">
        <f t="shared" si="5"/>
        <v>14.3125</v>
      </c>
      <c r="B555" s="921"/>
      <c r="C555" s="930" t="s">
        <v>299</v>
      </c>
    </row>
    <row r="556" spans="1:3" ht="11.25">
      <c r="A556" s="41">
        <f t="shared" si="5"/>
        <v>14.375</v>
      </c>
      <c r="B556" s="921"/>
      <c r="C556" s="930" t="s">
        <v>300</v>
      </c>
    </row>
    <row r="557" spans="1:3" ht="11.25">
      <c r="A557" s="41">
        <f t="shared" si="5"/>
        <v>14.4375</v>
      </c>
      <c r="B557" s="921"/>
      <c r="C557" s="930" t="s">
        <v>301</v>
      </c>
    </row>
    <row r="558" spans="1:3" ht="11.25">
      <c r="A558" s="41">
        <f t="shared" si="5"/>
        <v>14.5</v>
      </c>
      <c r="B558" s="921"/>
      <c r="C558" s="930" t="s">
        <v>302</v>
      </c>
    </row>
    <row r="559" spans="1:3" ht="11.25">
      <c r="A559" s="41">
        <f t="shared" si="5"/>
        <v>14.5625</v>
      </c>
      <c r="B559" s="921"/>
      <c r="C559" s="930" t="s">
        <v>303</v>
      </c>
    </row>
    <row r="560" spans="1:3" ht="11.25">
      <c r="A560" s="41">
        <f t="shared" si="5"/>
        <v>14.625</v>
      </c>
      <c r="B560" s="921"/>
      <c r="C560" s="930" t="s">
        <v>304</v>
      </c>
    </row>
    <row r="561" spans="1:3" ht="11.25">
      <c r="A561" s="41">
        <f t="shared" si="5"/>
        <v>14.6875</v>
      </c>
      <c r="B561" s="921"/>
      <c r="C561" s="930" t="s">
        <v>305</v>
      </c>
    </row>
    <row r="562" spans="1:3" ht="11.25">
      <c r="A562" s="41">
        <f t="shared" si="5"/>
        <v>14.75</v>
      </c>
      <c r="B562" s="921"/>
      <c r="C562" s="930" t="s">
        <v>306</v>
      </c>
    </row>
    <row r="563" spans="1:3" ht="11.25">
      <c r="A563" s="41">
        <f t="shared" si="5"/>
        <v>14.8125</v>
      </c>
      <c r="B563" s="921"/>
      <c r="C563" s="930" t="s">
        <v>307</v>
      </c>
    </row>
    <row r="564" spans="1:3" ht="11.25">
      <c r="A564" s="41">
        <f t="shared" si="5"/>
        <v>14.875</v>
      </c>
      <c r="B564" s="921"/>
      <c r="C564" s="930" t="s">
        <v>308</v>
      </c>
    </row>
    <row r="565" spans="1:3" ht="11.25">
      <c r="A565" s="41">
        <f t="shared" si="5"/>
        <v>14.9375</v>
      </c>
      <c r="B565" s="921"/>
      <c r="C565" s="930" t="s">
        <v>309</v>
      </c>
    </row>
    <row r="566" spans="1:3" ht="11.25">
      <c r="A566" s="41">
        <f t="shared" si="5"/>
        <v>15</v>
      </c>
      <c r="B566" s="921"/>
      <c r="C566" s="930" t="s">
        <v>310</v>
      </c>
    </row>
    <row r="567" spans="1:3" ht="11.25">
      <c r="A567" s="41">
        <f t="shared" si="5"/>
        <v>15.0625</v>
      </c>
      <c r="B567" s="921"/>
      <c r="C567" s="930" t="s">
        <v>311</v>
      </c>
    </row>
    <row r="568" spans="1:3" ht="11.25">
      <c r="A568" s="41">
        <f t="shared" si="5"/>
        <v>15.125</v>
      </c>
      <c r="B568" s="921"/>
      <c r="C568" s="930" t="s">
        <v>312</v>
      </c>
    </row>
    <row r="569" spans="1:3" ht="11.25">
      <c r="A569" s="41">
        <f t="shared" si="5"/>
        <v>15.1875</v>
      </c>
      <c r="B569" s="921"/>
      <c r="C569" s="930" t="s">
        <v>313</v>
      </c>
    </row>
    <row r="570" spans="1:3" ht="11.25">
      <c r="A570" s="41">
        <f t="shared" si="5"/>
        <v>15.25</v>
      </c>
      <c r="B570" s="921"/>
      <c r="C570" s="930" t="s">
        <v>314</v>
      </c>
    </row>
    <row r="571" spans="1:3" ht="11.25">
      <c r="A571" s="41">
        <f t="shared" si="5"/>
        <v>15.3125</v>
      </c>
      <c r="B571" s="921"/>
      <c r="C571" s="930" t="s">
        <v>315</v>
      </c>
    </row>
    <row r="572" spans="1:3" ht="11.25">
      <c r="A572" s="41">
        <f t="shared" si="5"/>
        <v>15.375</v>
      </c>
      <c r="B572" s="921"/>
      <c r="C572" s="930" t="s">
        <v>316</v>
      </c>
    </row>
    <row r="573" spans="1:3" ht="11.25">
      <c r="A573" s="41">
        <f t="shared" si="5"/>
        <v>15.4375</v>
      </c>
      <c r="B573" s="921"/>
      <c r="C573" s="930" t="s">
        <v>317</v>
      </c>
    </row>
    <row r="574" spans="1:3" ht="11.25">
      <c r="A574" s="41">
        <f t="shared" si="5"/>
        <v>15.5</v>
      </c>
      <c r="B574" s="921"/>
      <c r="C574" s="930" t="s">
        <v>318</v>
      </c>
    </row>
    <row r="575" spans="1:3" ht="11.25">
      <c r="A575" s="41">
        <f t="shared" si="5"/>
        <v>15.5625</v>
      </c>
      <c r="B575" s="921"/>
      <c r="C575" s="930" t="s">
        <v>319</v>
      </c>
    </row>
    <row r="576" spans="1:3" ht="11.25">
      <c r="A576" s="41">
        <f t="shared" si="5"/>
        <v>15.625</v>
      </c>
      <c r="B576" s="921"/>
      <c r="C576" s="930" t="s">
        <v>320</v>
      </c>
    </row>
    <row r="577" spans="1:3" ht="11.25">
      <c r="A577" s="41">
        <f t="shared" si="5"/>
        <v>15.6875</v>
      </c>
      <c r="B577" s="921"/>
      <c r="C577" s="930" t="s">
        <v>321</v>
      </c>
    </row>
    <row r="578" spans="1:3" ht="11.25">
      <c r="A578" s="41">
        <f t="shared" si="5"/>
        <v>15.75</v>
      </c>
      <c r="B578" s="921"/>
      <c r="C578" s="930" t="s">
        <v>322</v>
      </c>
    </row>
    <row r="579" spans="1:3" ht="11.25">
      <c r="A579" s="41">
        <f t="shared" si="5"/>
        <v>15.8125</v>
      </c>
      <c r="B579" s="921"/>
      <c r="C579" s="930" t="s">
        <v>323</v>
      </c>
    </row>
    <row r="580" spans="1:3" ht="11.25">
      <c r="A580" s="41">
        <f t="shared" si="5"/>
        <v>15.875</v>
      </c>
      <c r="B580" s="921"/>
      <c r="C580" s="930" t="s">
        <v>324</v>
      </c>
    </row>
    <row r="581" spans="1:3" ht="11.25">
      <c r="A581" s="41">
        <f t="shared" si="5"/>
        <v>15.9375</v>
      </c>
      <c r="B581" s="921"/>
      <c r="C581" s="930" t="s">
        <v>325</v>
      </c>
    </row>
    <row r="582" spans="1:3" ht="11.25">
      <c r="A582" s="41">
        <f t="shared" si="5"/>
        <v>16</v>
      </c>
      <c r="B582" s="921"/>
      <c r="C582" s="930" t="s">
        <v>326</v>
      </c>
    </row>
    <row r="583" spans="1:3" ht="11.25">
      <c r="A583" s="41">
        <f t="shared" si="5"/>
        <v>16.0625</v>
      </c>
      <c r="B583" s="921"/>
      <c r="C583" s="930" t="s">
        <v>327</v>
      </c>
    </row>
    <row r="584" spans="1:3" ht="11.25">
      <c r="A584" s="41">
        <f t="shared" si="5"/>
        <v>16.125</v>
      </c>
      <c r="B584" s="921"/>
      <c r="C584" s="930" t="s">
        <v>328</v>
      </c>
    </row>
    <row r="585" spans="1:3" ht="11.25">
      <c r="A585" s="41">
        <f t="shared" si="5"/>
        <v>16.1875</v>
      </c>
      <c r="B585" s="921"/>
      <c r="C585" s="930" t="s">
        <v>329</v>
      </c>
    </row>
    <row r="586" spans="1:3" ht="11.25">
      <c r="A586" s="41">
        <f t="shared" si="5"/>
        <v>16.25</v>
      </c>
      <c r="B586" s="921"/>
      <c r="C586" s="930" t="s">
        <v>330</v>
      </c>
    </row>
    <row r="587" spans="1:3" ht="11.25">
      <c r="A587" s="41">
        <f t="shared" si="5"/>
        <v>16.3125</v>
      </c>
      <c r="B587" s="921"/>
      <c r="C587" s="930" t="s">
        <v>331</v>
      </c>
    </row>
    <row r="588" spans="1:3" ht="11.25">
      <c r="A588" s="41">
        <f t="shared" si="5"/>
        <v>16.375</v>
      </c>
      <c r="B588" s="921"/>
      <c r="C588" s="930" t="s">
        <v>332</v>
      </c>
    </row>
    <row r="589" spans="1:3" ht="11.25">
      <c r="A589" s="41">
        <f t="shared" si="5"/>
        <v>16.4375</v>
      </c>
      <c r="B589" s="921"/>
      <c r="C589" s="930" t="s">
        <v>333</v>
      </c>
    </row>
    <row r="590" spans="1:3" ht="11.25">
      <c r="A590" s="41">
        <f t="shared" si="5"/>
        <v>16.5</v>
      </c>
      <c r="B590" s="921"/>
      <c r="C590" s="930" t="s">
        <v>334</v>
      </c>
    </row>
    <row r="591" spans="1:3" ht="11.25">
      <c r="A591" s="41">
        <f t="shared" si="5"/>
        <v>16.5625</v>
      </c>
      <c r="B591" s="921"/>
      <c r="C591" s="930" t="s">
        <v>335</v>
      </c>
    </row>
    <row r="592" spans="1:3" ht="11.25">
      <c r="A592" s="41">
        <f t="shared" si="5"/>
        <v>16.625</v>
      </c>
      <c r="B592" s="921"/>
      <c r="C592" s="930" t="s">
        <v>336</v>
      </c>
    </row>
    <row r="593" spans="1:3" ht="11.25">
      <c r="A593" s="41">
        <f t="shared" si="5"/>
        <v>16.6875</v>
      </c>
      <c r="B593" s="921"/>
      <c r="C593" s="930" t="s">
        <v>337</v>
      </c>
    </row>
    <row r="594" spans="1:3" ht="11.25">
      <c r="A594" s="41">
        <f t="shared" si="5"/>
        <v>16.75</v>
      </c>
      <c r="B594" s="921"/>
      <c r="C594" s="930" t="s">
        <v>338</v>
      </c>
    </row>
    <row r="595" spans="1:3" ht="11.25">
      <c r="A595" s="41">
        <f t="shared" si="5"/>
        <v>16.8125</v>
      </c>
      <c r="B595" s="921"/>
      <c r="C595" s="930" t="s">
        <v>339</v>
      </c>
    </row>
    <row r="596" spans="1:3" ht="11.25">
      <c r="A596" s="41">
        <f t="shared" si="5"/>
        <v>16.875</v>
      </c>
      <c r="B596" s="921"/>
      <c r="C596" s="930" t="s">
        <v>340</v>
      </c>
    </row>
    <row r="597" spans="1:3" ht="11.25">
      <c r="A597" s="41">
        <f t="shared" si="5"/>
        <v>16.9375</v>
      </c>
      <c r="B597" s="921"/>
      <c r="C597" s="930" t="s">
        <v>341</v>
      </c>
    </row>
    <row r="598" spans="1:3" ht="11.25">
      <c r="A598" s="41">
        <f t="shared" si="5"/>
        <v>17</v>
      </c>
      <c r="B598" s="921"/>
      <c r="C598" s="930" t="s">
        <v>342</v>
      </c>
    </row>
    <row r="599" spans="1:3" ht="11.25">
      <c r="A599" s="41">
        <f aca="true" t="shared" si="6" ref="A599:A662">A598+0.0625</f>
        <v>17.0625</v>
      </c>
      <c r="B599" s="921"/>
      <c r="C599" s="930" t="s">
        <v>343</v>
      </c>
    </row>
    <row r="600" spans="1:3" ht="11.25">
      <c r="A600" s="41">
        <f t="shared" si="6"/>
        <v>17.125</v>
      </c>
      <c r="B600" s="921"/>
      <c r="C600" s="930" t="s">
        <v>344</v>
      </c>
    </row>
    <row r="601" spans="1:3" ht="11.25">
      <c r="A601" s="41">
        <f t="shared" si="6"/>
        <v>17.1875</v>
      </c>
      <c r="B601" s="921"/>
      <c r="C601" s="930" t="s">
        <v>345</v>
      </c>
    </row>
    <row r="602" spans="1:3" ht="11.25">
      <c r="A602" s="41">
        <f t="shared" si="6"/>
        <v>17.25</v>
      </c>
      <c r="B602" s="921"/>
      <c r="C602" s="930" t="s">
        <v>346</v>
      </c>
    </row>
    <row r="603" spans="1:3" ht="11.25">
      <c r="A603" s="41">
        <f t="shared" si="6"/>
        <v>17.3125</v>
      </c>
      <c r="B603" s="921"/>
      <c r="C603" s="930" t="s">
        <v>347</v>
      </c>
    </row>
    <row r="604" spans="1:3" ht="11.25">
      <c r="A604" s="41">
        <f t="shared" si="6"/>
        <v>17.375</v>
      </c>
      <c r="B604" s="921"/>
      <c r="C604" s="930" t="s">
        <v>348</v>
      </c>
    </row>
    <row r="605" spans="1:3" ht="11.25">
      <c r="A605" s="41">
        <f t="shared" si="6"/>
        <v>17.4375</v>
      </c>
      <c r="B605" s="921"/>
      <c r="C605" s="930" t="s">
        <v>349</v>
      </c>
    </row>
    <row r="606" spans="1:3" ht="11.25">
      <c r="A606" s="41">
        <f t="shared" si="6"/>
        <v>17.5</v>
      </c>
      <c r="B606" s="921"/>
      <c r="C606" s="930" t="s">
        <v>350</v>
      </c>
    </row>
    <row r="607" spans="1:3" ht="11.25">
      <c r="A607" s="41">
        <f t="shared" si="6"/>
        <v>17.5625</v>
      </c>
      <c r="B607" s="921"/>
      <c r="C607" s="930" t="s">
        <v>351</v>
      </c>
    </row>
    <row r="608" spans="1:3" ht="11.25">
      <c r="A608" s="41">
        <f t="shared" si="6"/>
        <v>17.625</v>
      </c>
      <c r="B608" s="921"/>
      <c r="C608" s="930" t="s">
        <v>354</v>
      </c>
    </row>
    <row r="609" spans="1:3" ht="11.25">
      <c r="A609" s="41">
        <f t="shared" si="6"/>
        <v>17.6875</v>
      </c>
      <c r="B609" s="921"/>
      <c r="C609" s="930" t="s">
        <v>355</v>
      </c>
    </row>
    <row r="610" spans="1:3" ht="11.25">
      <c r="A610" s="41">
        <f t="shared" si="6"/>
        <v>17.75</v>
      </c>
      <c r="B610" s="921"/>
      <c r="C610" s="930" t="s">
        <v>356</v>
      </c>
    </row>
    <row r="611" spans="1:3" ht="11.25">
      <c r="A611" s="41">
        <f t="shared" si="6"/>
        <v>17.8125</v>
      </c>
      <c r="B611" s="921"/>
      <c r="C611" s="930" t="s">
        <v>357</v>
      </c>
    </row>
    <row r="612" spans="1:3" ht="11.25">
      <c r="A612" s="41">
        <f t="shared" si="6"/>
        <v>17.875</v>
      </c>
      <c r="B612" s="921"/>
      <c r="C612" s="930" t="s">
        <v>358</v>
      </c>
    </row>
    <row r="613" spans="1:3" ht="11.25">
      <c r="A613" s="41">
        <f t="shared" si="6"/>
        <v>17.9375</v>
      </c>
      <c r="B613" s="921"/>
      <c r="C613" s="930" t="s">
        <v>359</v>
      </c>
    </row>
    <row r="614" spans="1:3" ht="11.25">
      <c r="A614" s="41">
        <f t="shared" si="6"/>
        <v>18</v>
      </c>
      <c r="B614" s="921"/>
      <c r="C614" s="930" t="s">
        <v>360</v>
      </c>
    </row>
    <row r="615" spans="1:3" ht="11.25">
      <c r="A615" s="41">
        <f t="shared" si="6"/>
        <v>18.0625</v>
      </c>
      <c r="B615" s="921"/>
      <c r="C615" s="930" t="s">
        <v>361</v>
      </c>
    </row>
    <row r="616" spans="1:3" ht="11.25">
      <c r="A616" s="41">
        <f t="shared" si="6"/>
        <v>18.125</v>
      </c>
      <c r="B616" s="921"/>
      <c r="C616" s="930" t="s">
        <v>362</v>
      </c>
    </row>
    <row r="617" spans="1:3" ht="11.25">
      <c r="A617" s="41">
        <f t="shared" si="6"/>
        <v>18.1875</v>
      </c>
      <c r="B617" s="921"/>
      <c r="C617" s="930" t="s">
        <v>363</v>
      </c>
    </row>
    <row r="618" spans="1:3" ht="11.25">
      <c r="A618" s="41">
        <f t="shared" si="6"/>
        <v>18.25</v>
      </c>
      <c r="B618" s="921"/>
      <c r="C618" s="930" t="s">
        <v>364</v>
      </c>
    </row>
    <row r="619" spans="1:3" ht="11.25">
      <c r="A619" s="41">
        <f t="shared" si="6"/>
        <v>18.3125</v>
      </c>
      <c r="B619" s="921"/>
      <c r="C619" s="930" t="s">
        <v>365</v>
      </c>
    </row>
    <row r="620" spans="1:3" ht="11.25">
      <c r="A620" s="41">
        <f t="shared" si="6"/>
        <v>18.375</v>
      </c>
      <c r="B620" s="921"/>
      <c r="C620" s="930" t="s">
        <v>366</v>
      </c>
    </row>
    <row r="621" spans="1:3" ht="11.25">
      <c r="A621" s="41">
        <f t="shared" si="6"/>
        <v>18.4375</v>
      </c>
      <c r="B621" s="921"/>
      <c r="C621" s="930" t="s">
        <v>367</v>
      </c>
    </row>
    <row r="622" spans="1:3" ht="11.25">
      <c r="A622" s="41">
        <f t="shared" si="6"/>
        <v>18.5</v>
      </c>
      <c r="B622" s="921"/>
      <c r="C622" s="930" t="s">
        <v>368</v>
      </c>
    </row>
    <row r="623" spans="1:3" ht="11.25">
      <c r="A623" s="41">
        <f t="shared" si="6"/>
        <v>18.5625</v>
      </c>
      <c r="B623" s="921"/>
      <c r="C623" s="930" t="s">
        <v>369</v>
      </c>
    </row>
    <row r="624" spans="1:3" ht="11.25">
      <c r="A624" s="41">
        <f t="shared" si="6"/>
        <v>18.625</v>
      </c>
      <c r="B624" s="921"/>
      <c r="C624" s="930" t="s">
        <v>370</v>
      </c>
    </row>
    <row r="625" spans="1:3" ht="11.25">
      <c r="A625" s="41">
        <f t="shared" si="6"/>
        <v>18.6875</v>
      </c>
      <c r="B625" s="921"/>
      <c r="C625" s="930" t="s">
        <v>371</v>
      </c>
    </row>
    <row r="626" spans="1:3" ht="11.25">
      <c r="A626" s="41">
        <f t="shared" si="6"/>
        <v>18.75</v>
      </c>
      <c r="B626" s="921"/>
      <c r="C626" s="930" t="s">
        <v>372</v>
      </c>
    </row>
    <row r="627" spans="1:3" ht="11.25">
      <c r="A627" s="41">
        <f t="shared" si="6"/>
        <v>18.8125</v>
      </c>
      <c r="B627" s="921"/>
      <c r="C627" s="930" t="s">
        <v>373</v>
      </c>
    </row>
    <row r="628" spans="1:3" ht="11.25">
      <c r="A628" s="41">
        <f t="shared" si="6"/>
        <v>18.875</v>
      </c>
      <c r="B628" s="921"/>
      <c r="C628" s="930" t="s">
        <v>374</v>
      </c>
    </row>
    <row r="629" spans="1:3" ht="11.25">
      <c r="A629" s="41">
        <f t="shared" si="6"/>
        <v>18.9375</v>
      </c>
      <c r="B629" s="921"/>
      <c r="C629" s="930" t="s">
        <v>375</v>
      </c>
    </row>
    <row r="630" spans="1:3" ht="11.25">
      <c r="A630" s="41">
        <f t="shared" si="6"/>
        <v>19</v>
      </c>
      <c r="B630" s="921"/>
      <c r="C630" s="930" t="s">
        <v>376</v>
      </c>
    </row>
    <row r="631" spans="1:3" ht="11.25">
      <c r="A631" s="41">
        <f t="shared" si="6"/>
        <v>19.0625</v>
      </c>
      <c r="B631" s="921"/>
      <c r="C631" s="930" t="s">
        <v>377</v>
      </c>
    </row>
    <row r="632" spans="1:3" ht="11.25">
      <c r="A632" s="41">
        <f t="shared" si="6"/>
        <v>19.125</v>
      </c>
      <c r="B632" s="921"/>
      <c r="C632" s="930" t="s">
        <v>378</v>
      </c>
    </row>
    <row r="633" spans="1:3" ht="11.25">
      <c r="A633" s="41">
        <f t="shared" si="6"/>
        <v>19.1875</v>
      </c>
      <c r="B633" s="921"/>
      <c r="C633" s="930" t="s">
        <v>379</v>
      </c>
    </row>
    <row r="634" spans="1:3" ht="11.25">
      <c r="A634" s="41">
        <f t="shared" si="6"/>
        <v>19.25</v>
      </c>
      <c r="B634" s="921"/>
      <c r="C634" s="930" t="s">
        <v>380</v>
      </c>
    </row>
    <row r="635" spans="1:3" ht="11.25">
      <c r="A635" s="41">
        <f t="shared" si="6"/>
        <v>19.3125</v>
      </c>
      <c r="B635" s="921"/>
      <c r="C635" s="930" t="s">
        <v>381</v>
      </c>
    </row>
    <row r="636" spans="1:3" ht="11.25">
      <c r="A636" s="41">
        <f t="shared" si="6"/>
        <v>19.375</v>
      </c>
      <c r="B636" s="921"/>
      <c r="C636" s="930" t="s">
        <v>382</v>
      </c>
    </row>
    <row r="637" spans="1:3" ht="11.25">
      <c r="A637" s="41">
        <f t="shared" si="6"/>
        <v>19.4375</v>
      </c>
      <c r="B637" s="921"/>
      <c r="C637" s="930" t="s">
        <v>383</v>
      </c>
    </row>
    <row r="638" spans="1:3" ht="11.25">
      <c r="A638" s="41">
        <f t="shared" si="6"/>
        <v>19.5</v>
      </c>
      <c r="B638" s="921"/>
      <c r="C638" s="930" t="s">
        <v>384</v>
      </c>
    </row>
    <row r="639" spans="1:3" ht="11.25">
      <c r="A639" s="41">
        <f t="shared" si="6"/>
        <v>19.5625</v>
      </c>
      <c r="B639" s="921"/>
      <c r="C639" s="930" t="s">
        <v>385</v>
      </c>
    </row>
    <row r="640" spans="1:3" ht="11.25">
      <c r="A640" s="41">
        <f t="shared" si="6"/>
        <v>19.625</v>
      </c>
      <c r="B640" s="921"/>
      <c r="C640" s="930" t="s">
        <v>386</v>
      </c>
    </row>
    <row r="641" spans="1:3" ht="11.25">
      <c r="A641" s="41">
        <f t="shared" si="6"/>
        <v>19.6875</v>
      </c>
      <c r="B641" s="921"/>
      <c r="C641" s="930" t="s">
        <v>387</v>
      </c>
    </row>
    <row r="642" spans="1:3" ht="11.25">
      <c r="A642" s="41">
        <f t="shared" si="6"/>
        <v>19.75</v>
      </c>
      <c r="B642" s="921"/>
      <c r="C642" s="930" t="s">
        <v>388</v>
      </c>
    </row>
    <row r="643" spans="1:3" ht="11.25">
      <c r="A643" s="41">
        <f t="shared" si="6"/>
        <v>19.8125</v>
      </c>
      <c r="B643" s="921"/>
      <c r="C643" s="930" t="s">
        <v>389</v>
      </c>
    </row>
    <row r="644" spans="1:3" ht="11.25">
      <c r="A644" s="41">
        <f t="shared" si="6"/>
        <v>19.875</v>
      </c>
      <c r="B644" s="921"/>
      <c r="C644" s="930" t="s">
        <v>390</v>
      </c>
    </row>
    <row r="645" spans="1:3" ht="11.25">
      <c r="A645" s="41">
        <f t="shared" si="6"/>
        <v>19.9375</v>
      </c>
      <c r="B645" s="921"/>
      <c r="C645" s="930" t="s">
        <v>391</v>
      </c>
    </row>
    <row r="646" spans="1:3" ht="11.25">
      <c r="A646" s="41">
        <f t="shared" si="6"/>
        <v>20</v>
      </c>
      <c r="B646" s="921"/>
      <c r="C646" s="930" t="s">
        <v>392</v>
      </c>
    </row>
    <row r="647" spans="1:3" ht="11.25">
      <c r="A647" s="41">
        <f t="shared" si="6"/>
        <v>20.0625</v>
      </c>
      <c r="B647" s="921"/>
      <c r="C647" s="930" t="s">
        <v>393</v>
      </c>
    </row>
    <row r="648" spans="1:3" ht="11.25">
      <c r="A648" s="41">
        <f t="shared" si="6"/>
        <v>20.125</v>
      </c>
      <c r="B648" s="921"/>
      <c r="C648" s="930" t="s">
        <v>394</v>
      </c>
    </row>
    <row r="649" spans="1:3" ht="11.25">
      <c r="A649" s="41">
        <f t="shared" si="6"/>
        <v>20.1875</v>
      </c>
      <c r="B649" s="921"/>
      <c r="C649" s="930" t="s">
        <v>395</v>
      </c>
    </row>
    <row r="650" spans="1:3" ht="11.25">
      <c r="A650" s="41">
        <f t="shared" si="6"/>
        <v>20.25</v>
      </c>
      <c r="B650" s="921"/>
      <c r="C650" s="930" t="s">
        <v>396</v>
      </c>
    </row>
    <row r="651" spans="1:3" ht="11.25">
      <c r="A651" s="41">
        <f t="shared" si="6"/>
        <v>20.3125</v>
      </c>
      <c r="B651" s="921"/>
      <c r="C651" s="930" t="s">
        <v>397</v>
      </c>
    </row>
    <row r="652" spans="1:3" ht="11.25">
      <c r="A652" s="41">
        <f t="shared" si="6"/>
        <v>20.375</v>
      </c>
      <c r="B652" s="921"/>
      <c r="C652" s="930" t="s">
        <v>398</v>
      </c>
    </row>
    <row r="653" spans="1:3" ht="11.25">
      <c r="A653" s="41">
        <f t="shared" si="6"/>
        <v>20.4375</v>
      </c>
      <c r="B653" s="921"/>
      <c r="C653" s="930" t="s">
        <v>399</v>
      </c>
    </row>
    <row r="654" spans="1:3" ht="11.25">
      <c r="A654" s="41">
        <f t="shared" si="6"/>
        <v>20.5</v>
      </c>
      <c r="B654" s="921"/>
      <c r="C654" s="930" t="s">
        <v>400</v>
      </c>
    </row>
    <row r="655" spans="1:3" ht="11.25">
      <c r="A655" s="41">
        <f t="shared" si="6"/>
        <v>20.5625</v>
      </c>
      <c r="B655" s="921"/>
      <c r="C655" s="930" t="s">
        <v>401</v>
      </c>
    </row>
    <row r="656" spans="1:3" ht="11.25">
      <c r="A656" s="41">
        <f t="shared" si="6"/>
        <v>20.625</v>
      </c>
      <c r="B656" s="921"/>
      <c r="C656" s="930" t="s">
        <v>402</v>
      </c>
    </row>
    <row r="657" spans="1:3" ht="11.25">
      <c r="A657" s="41">
        <f t="shared" si="6"/>
        <v>20.6875</v>
      </c>
      <c r="B657" s="921"/>
      <c r="C657" s="930" t="s">
        <v>403</v>
      </c>
    </row>
    <row r="658" spans="1:3" ht="11.25">
      <c r="A658" s="41">
        <f t="shared" si="6"/>
        <v>20.75</v>
      </c>
      <c r="B658" s="921"/>
      <c r="C658" s="930" t="s">
        <v>404</v>
      </c>
    </row>
    <row r="659" spans="1:3" ht="11.25">
      <c r="A659" s="41">
        <f t="shared" si="6"/>
        <v>20.8125</v>
      </c>
      <c r="B659" s="921"/>
      <c r="C659" s="930" t="s">
        <v>405</v>
      </c>
    </row>
    <row r="660" spans="1:3" ht="11.25">
      <c r="A660" s="41">
        <f t="shared" si="6"/>
        <v>20.875</v>
      </c>
      <c r="B660" s="921"/>
      <c r="C660" s="930" t="s">
        <v>406</v>
      </c>
    </row>
    <row r="661" spans="1:3" ht="11.25">
      <c r="A661" s="41">
        <f t="shared" si="6"/>
        <v>20.9375</v>
      </c>
      <c r="B661" s="921"/>
      <c r="C661" s="930" t="s">
        <v>407</v>
      </c>
    </row>
    <row r="662" spans="1:3" ht="11.25">
      <c r="A662" s="41">
        <f t="shared" si="6"/>
        <v>21</v>
      </c>
      <c r="B662" s="921"/>
      <c r="C662" s="930" t="s">
        <v>408</v>
      </c>
    </row>
    <row r="663" spans="1:3" ht="11.25">
      <c r="A663" s="41">
        <f aca="true" t="shared" si="7" ref="A663:A726">A662+0.0625</f>
        <v>21.0625</v>
      </c>
      <c r="B663" s="921"/>
      <c r="C663" s="930" t="s">
        <v>409</v>
      </c>
    </row>
    <row r="664" spans="1:3" ht="11.25">
      <c r="A664" s="41">
        <f t="shared" si="7"/>
        <v>21.125</v>
      </c>
      <c r="B664" s="921"/>
      <c r="C664" s="930" t="s">
        <v>410</v>
      </c>
    </row>
    <row r="665" spans="1:3" ht="11.25">
      <c r="A665" s="41">
        <f t="shared" si="7"/>
        <v>21.1875</v>
      </c>
      <c r="B665" s="921"/>
      <c r="C665" s="930" t="s">
        <v>411</v>
      </c>
    </row>
    <row r="666" spans="1:3" ht="11.25">
      <c r="A666" s="41">
        <f t="shared" si="7"/>
        <v>21.25</v>
      </c>
      <c r="B666" s="921"/>
      <c r="C666" s="930" t="s">
        <v>412</v>
      </c>
    </row>
    <row r="667" spans="1:3" ht="11.25">
      <c r="A667" s="41">
        <f t="shared" si="7"/>
        <v>21.3125</v>
      </c>
      <c r="B667" s="921"/>
      <c r="C667" s="930" t="s">
        <v>413</v>
      </c>
    </row>
    <row r="668" spans="1:3" ht="11.25">
      <c r="A668" s="41">
        <f t="shared" si="7"/>
        <v>21.375</v>
      </c>
      <c r="B668" s="921"/>
      <c r="C668" s="930" t="s">
        <v>414</v>
      </c>
    </row>
    <row r="669" spans="1:3" ht="11.25">
      <c r="A669" s="41">
        <f t="shared" si="7"/>
        <v>21.4375</v>
      </c>
      <c r="B669" s="921"/>
      <c r="C669" s="930" t="s">
        <v>415</v>
      </c>
    </row>
    <row r="670" spans="1:3" ht="11.25">
      <c r="A670" s="41">
        <f t="shared" si="7"/>
        <v>21.5</v>
      </c>
      <c r="B670" s="921"/>
      <c r="C670" s="930" t="s">
        <v>416</v>
      </c>
    </row>
    <row r="671" spans="1:3" ht="11.25">
      <c r="A671" s="41">
        <f t="shared" si="7"/>
        <v>21.5625</v>
      </c>
      <c r="B671" s="921"/>
      <c r="C671" s="930" t="s">
        <v>417</v>
      </c>
    </row>
    <row r="672" spans="1:3" ht="11.25">
      <c r="A672" s="41">
        <f t="shared" si="7"/>
        <v>21.625</v>
      </c>
      <c r="B672" s="921"/>
      <c r="C672" s="930" t="s">
        <v>418</v>
      </c>
    </row>
    <row r="673" spans="1:3" ht="11.25">
      <c r="A673" s="41">
        <f t="shared" si="7"/>
        <v>21.6875</v>
      </c>
      <c r="B673" s="921"/>
      <c r="C673" s="930" t="s">
        <v>419</v>
      </c>
    </row>
    <row r="674" spans="1:3" ht="11.25">
      <c r="A674" s="41">
        <f t="shared" si="7"/>
        <v>21.75</v>
      </c>
      <c r="B674" s="921"/>
      <c r="C674" s="930" t="s">
        <v>420</v>
      </c>
    </row>
    <row r="675" spans="1:3" ht="11.25">
      <c r="A675" s="41">
        <f t="shared" si="7"/>
        <v>21.8125</v>
      </c>
      <c r="B675" s="921"/>
      <c r="C675" s="930" t="s">
        <v>421</v>
      </c>
    </row>
    <row r="676" spans="1:3" ht="11.25">
      <c r="A676" s="41">
        <f t="shared" si="7"/>
        <v>21.875</v>
      </c>
      <c r="B676" s="921"/>
      <c r="C676" s="930" t="s">
        <v>422</v>
      </c>
    </row>
    <row r="677" spans="1:3" ht="11.25">
      <c r="A677" s="41">
        <f t="shared" si="7"/>
        <v>21.9375</v>
      </c>
      <c r="B677" s="921"/>
      <c r="C677" s="930" t="s">
        <v>423</v>
      </c>
    </row>
    <row r="678" spans="1:3" ht="11.25">
      <c r="A678" s="41">
        <f t="shared" si="7"/>
        <v>22</v>
      </c>
      <c r="B678" s="921"/>
      <c r="C678" s="930" t="s">
        <v>424</v>
      </c>
    </row>
    <row r="679" spans="1:3" ht="11.25">
      <c r="A679" s="41">
        <f t="shared" si="7"/>
        <v>22.0625</v>
      </c>
      <c r="B679" s="921"/>
      <c r="C679" s="930" t="s">
        <v>425</v>
      </c>
    </row>
    <row r="680" spans="1:3" ht="11.25">
      <c r="A680" s="41">
        <f t="shared" si="7"/>
        <v>22.125</v>
      </c>
      <c r="B680" s="921"/>
      <c r="C680" s="930" t="s">
        <v>426</v>
      </c>
    </row>
    <row r="681" spans="1:3" ht="11.25">
      <c r="A681" s="41">
        <f t="shared" si="7"/>
        <v>22.1875</v>
      </c>
      <c r="B681" s="921"/>
      <c r="C681" s="930" t="s">
        <v>427</v>
      </c>
    </row>
    <row r="682" spans="1:3" ht="11.25">
      <c r="A682" s="41">
        <f t="shared" si="7"/>
        <v>22.25</v>
      </c>
      <c r="B682" s="921"/>
      <c r="C682" s="930" t="s">
        <v>428</v>
      </c>
    </row>
    <row r="683" spans="1:3" ht="11.25">
      <c r="A683" s="41">
        <f t="shared" si="7"/>
        <v>22.3125</v>
      </c>
      <c r="B683" s="921"/>
      <c r="C683" s="930" t="s">
        <v>429</v>
      </c>
    </row>
    <row r="684" spans="1:3" ht="11.25">
      <c r="A684" s="41">
        <f t="shared" si="7"/>
        <v>22.375</v>
      </c>
      <c r="B684" s="921"/>
      <c r="C684" s="930" t="s">
        <v>430</v>
      </c>
    </row>
    <row r="685" spans="1:3" ht="11.25">
      <c r="A685" s="41">
        <f t="shared" si="7"/>
        <v>22.4375</v>
      </c>
      <c r="B685" s="921"/>
      <c r="C685" s="930" t="s">
        <v>431</v>
      </c>
    </row>
    <row r="686" spans="1:3" ht="11.25">
      <c r="A686" s="41">
        <f t="shared" si="7"/>
        <v>22.5</v>
      </c>
      <c r="B686" s="921"/>
      <c r="C686" s="930" t="s">
        <v>432</v>
      </c>
    </row>
    <row r="687" spans="1:3" ht="11.25">
      <c r="A687" s="41">
        <f t="shared" si="7"/>
        <v>22.5625</v>
      </c>
      <c r="B687" s="921"/>
      <c r="C687" s="930" t="s">
        <v>433</v>
      </c>
    </row>
    <row r="688" spans="1:3" ht="11.25">
      <c r="A688" s="41">
        <f t="shared" si="7"/>
        <v>22.625</v>
      </c>
      <c r="B688" s="921"/>
      <c r="C688" s="930" t="s">
        <v>434</v>
      </c>
    </row>
    <row r="689" spans="1:3" ht="11.25">
      <c r="A689" s="41">
        <f t="shared" si="7"/>
        <v>22.6875</v>
      </c>
      <c r="B689" s="921"/>
      <c r="C689" s="930" t="s">
        <v>435</v>
      </c>
    </row>
    <row r="690" spans="1:3" ht="11.25">
      <c r="A690" s="41">
        <f t="shared" si="7"/>
        <v>22.75</v>
      </c>
      <c r="B690" s="921"/>
      <c r="C690" s="930" t="s">
        <v>436</v>
      </c>
    </row>
    <row r="691" spans="1:3" ht="11.25">
      <c r="A691" s="41">
        <f t="shared" si="7"/>
        <v>22.8125</v>
      </c>
      <c r="B691" s="921"/>
      <c r="C691" s="930" t="s">
        <v>437</v>
      </c>
    </row>
    <row r="692" spans="1:3" ht="11.25">
      <c r="A692" s="41">
        <f t="shared" si="7"/>
        <v>22.875</v>
      </c>
      <c r="B692" s="921"/>
      <c r="C692" s="930" t="s">
        <v>438</v>
      </c>
    </row>
    <row r="693" spans="1:3" ht="11.25">
      <c r="A693" s="41">
        <f t="shared" si="7"/>
        <v>22.9375</v>
      </c>
      <c r="B693" s="921"/>
      <c r="C693" s="930" t="s">
        <v>439</v>
      </c>
    </row>
    <row r="694" spans="1:3" ht="11.25">
      <c r="A694" s="41">
        <f t="shared" si="7"/>
        <v>23</v>
      </c>
      <c r="B694" s="921"/>
      <c r="C694" s="930" t="s">
        <v>440</v>
      </c>
    </row>
    <row r="695" spans="1:3" ht="11.25">
      <c r="A695" s="41">
        <f t="shared" si="7"/>
        <v>23.0625</v>
      </c>
      <c r="B695" s="921"/>
      <c r="C695" s="930" t="s">
        <v>441</v>
      </c>
    </row>
    <row r="696" spans="1:3" ht="11.25">
      <c r="A696" s="41">
        <f t="shared" si="7"/>
        <v>23.125</v>
      </c>
      <c r="B696" s="921"/>
      <c r="C696" s="930" t="s">
        <v>442</v>
      </c>
    </row>
    <row r="697" spans="1:3" ht="11.25">
      <c r="A697" s="41">
        <f t="shared" si="7"/>
        <v>23.1875</v>
      </c>
      <c r="B697" s="921"/>
      <c r="C697" s="930" t="s">
        <v>443</v>
      </c>
    </row>
    <row r="698" spans="1:3" ht="11.25">
      <c r="A698" s="41">
        <f t="shared" si="7"/>
        <v>23.25</v>
      </c>
      <c r="B698" s="921"/>
      <c r="C698" s="930" t="s">
        <v>444</v>
      </c>
    </row>
    <row r="699" spans="1:3" ht="11.25">
      <c r="A699" s="41">
        <f t="shared" si="7"/>
        <v>23.3125</v>
      </c>
      <c r="B699" s="921"/>
      <c r="C699" s="930" t="s">
        <v>445</v>
      </c>
    </row>
    <row r="700" spans="1:3" ht="11.25">
      <c r="A700" s="41">
        <f t="shared" si="7"/>
        <v>23.375</v>
      </c>
      <c r="B700" s="921"/>
      <c r="C700" s="930" t="s">
        <v>446</v>
      </c>
    </row>
    <row r="701" spans="1:3" ht="11.25">
      <c r="A701" s="41">
        <f t="shared" si="7"/>
        <v>23.4375</v>
      </c>
      <c r="B701" s="921"/>
      <c r="C701" s="930" t="s">
        <v>447</v>
      </c>
    </row>
    <row r="702" spans="1:3" ht="11.25">
      <c r="A702" s="41">
        <f t="shared" si="7"/>
        <v>23.5</v>
      </c>
      <c r="B702" s="921"/>
      <c r="C702" s="930" t="s">
        <v>448</v>
      </c>
    </row>
    <row r="703" spans="1:3" ht="11.25">
      <c r="A703" s="41">
        <f t="shared" si="7"/>
        <v>23.5625</v>
      </c>
      <c r="B703" s="921"/>
      <c r="C703" s="930" t="s">
        <v>449</v>
      </c>
    </row>
    <row r="704" spans="1:3" ht="11.25">
      <c r="A704" s="41">
        <f t="shared" si="7"/>
        <v>23.625</v>
      </c>
      <c r="B704" s="921"/>
      <c r="C704" s="930" t="s">
        <v>450</v>
      </c>
    </row>
    <row r="705" spans="1:3" ht="11.25">
      <c r="A705" s="41">
        <f t="shared" si="7"/>
        <v>23.6875</v>
      </c>
      <c r="B705" s="921"/>
      <c r="C705" s="930" t="s">
        <v>451</v>
      </c>
    </row>
    <row r="706" spans="1:3" ht="11.25">
      <c r="A706" s="41">
        <f t="shared" si="7"/>
        <v>23.75</v>
      </c>
      <c r="B706" s="921"/>
      <c r="C706" s="930" t="s">
        <v>452</v>
      </c>
    </row>
    <row r="707" spans="1:3" ht="11.25">
      <c r="A707" s="41">
        <f t="shared" si="7"/>
        <v>23.8125</v>
      </c>
      <c r="B707" s="921"/>
      <c r="C707" s="930" t="s">
        <v>453</v>
      </c>
    </row>
    <row r="708" spans="1:3" ht="11.25">
      <c r="A708" s="41">
        <f t="shared" si="7"/>
        <v>23.875</v>
      </c>
      <c r="B708" s="921"/>
      <c r="C708" s="930" t="s">
        <v>454</v>
      </c>
    </row>
    <row r="709" spans="1:3" ht="11.25">
      <c r="A709" s="41">
        <f t="shared" si="7"/>
        <v>23.9375</v>
      </c>
      <c r="B709" s="921"/>
      <c r="C709" s="930" t="s">
        <v>455</v>
      </c>
    </row>
    <row r="710" spans="1:3" ht="11.25">
      <c r="A710" s="41">
        <f t="shared" si="7"/>
        <v>24</v>
      </c>
      <c r="B710" s="921"/>
      <c r="C710" s="930" t="s">
        <v>456</v>
      </c>
    </row>
    <row r="711" spans="1:3" ht="11.25">
      <c r="A711" s="41">
        <f t="shared" si="7"/>
        <v>24.0625</v>
      </c>
      <c r="B711" s="921"/>
      <c r="C711" s="930" t="s">
        <v>457</v>
      </c>
    </row>
    <row r="712" spans="1:3" ht="11.25">
      <c r="A712" s="41">
        <f t="shared" si="7"/>
        <v>24.125</v>
      </c>
      <c r="B712" s="921"/>
      <c r="C712" s="930" t="s">
        <v>458</v>
      </c>
    </row>
    <row r="713" spans="1:3" ht="11.25">
      <c r="A713" s="41">
        <f t="shared" si="7"/>
        <v>24.1875</v>
      </c>
      <c r="B713" s="921"/>
      <c r="C713" s="930" t="s">
        <v>459</v>
      </c>
    </row>
    <row r="714" spans="1:3" ht="11.25">
      <c r="A714" s="41">
        <f t="shared" si="7"/>
        <v>24.25</v>
      </c>
      <c r="B714" s="921"/>
      <c r="C714" s="930" t="s">
        <v>460</v>
      </c>
    </row>
    <row r="715" spans="1:3" ht="11.25">
      <c r="A715" s="41">
        <f t="shared" si="7"/>
        <v>24.3125</v>
      </c>
      <c r="B715" s="921"/>
      <c r="C715" s="930" t="s">
        <v>461</v>
      </c>
    </row>
    <row r="716" spans="1:3" ht="11.25">
      <c r="A716" s="41">
        <f t="shared" si="7"/>
        <v>24.375</v>
      </c>
      <c r="B716" s="921"/>
      <c r="C716" s="930" t="s">
        <v>462</v>
      </c>
    </row>
    <row r="717" spans="1:3" ht="11.25">
      <c r="A717" s="41">
        <f t="shared" si="7"/>
        <v>24.4375</v>
      </c>
      <c r="B717" s="921"/>
      <c r="C717" s="930" t="s">
        <v>463</v>
      </c>
    </row>
    <row r="718" spans="1:3" ht="11.25">
      <c r="A718" s="41">
        <f t="shared" si="7"/>
        <v>24.5</v>
      </c>
      <c r="B718" s="921"/>
      <c r="C718" s="930" t="s">
        <v>464</v>
      </c>
    </row>
    <row r="719" spans="1:3" ht="11.25">
      <c r="A719" s="41">
        <f t="shared" si="7"/>
        <v>24.5625</v>
      </c>
      <c r="B719" s="921"/>
      <c r="C719" s="930" t="s">
        <v>465</v>
      </c>
    </row>
    <row r="720" spans="1:3" ht="11.25">
      <c r="A720" s="41">
        <f t="shared" si="7"/>
        <v>24.625</v>
      </c>
      <c r="B720" s="921"/>
      <c r="C720" s="930" t="s">
        <v>466</v>
      </c>
    </row>
    <row r="721" spans="1:3" ht="11.25">
      <c r="A721" s="41">
        <f t="shared" si="7"/>
        <v>24.6875</v>
      </c>
      <c r="B721" s="921"/>
      <c r="C721" s="930" t="s">
        <v>467</v>
      </c>
    </row>
    <row r="722" spans="1:3" ht="11.25">
      <c r="A722" s="41">
        <f t="shared" si="7"/>
        <v>24.75</v>
      </c>
      <c r="B722" s="921"/>
      <c r="C722" s="930" t="s">
        <v>468</v>
      </c>
    </row>
    <row r="723" spans="1:3" ht="11.25">
      <c r="A723" s="41">
        <f t="shared" si="7"/>
        <v>24.8125</v>
      </c>
      <c r="B723" s="921"/>
      <c r="C723" s="930" t="s">
        <v>469</v>
      </c>
    </row>
    <row r="724" spans="1:3" ht="11.25">
      <c r="A724" s="41">
        <f t="shared" si="7"/>
        <v>24.875</v>
      </c>
      <c r="B724" s="921"/>
      <c r="C724" s="930" t="s">
        <v>470</v>
      </c>
    </row>
    <row r="725" spans="1:3" ht="11.25">
      <c r="A725" s="41">
        <f t="shared" si="7"/>
        <v>24.9375</v>
      </c>
      <c r="B725" s="921"/>
      <c r="C725" s="930" t="s">
        <v>471</v>
      </c>
    </row>
    <row r="726" spans="1:3" ht="11.25">
      <c r="A726" s="41">
        <f t="shared" si="7"/>
        <v>25</v>
      </c>
      <c r="B726" s="921"/>
      <c r="C726" s="930" t="s">
        <v>472</v>
      </c>
    </row>
    <row r="727" spans="1:3" ht="11.25">
      <c r="A727" s="41">
        <f aca="true" t="shared" si="8" ref="A727:A790">A726+0.0625</f>
        <v>25.0625</v>
      </c>
      <c r="B727" s="921"/>
      <c r="C727" s="930" t="s">
        <v>473</v>
      </c>
    </row>
    <row r="728" spans="1:3" ht="11.25">
      <c r="A728" s="41">
        <f t="shared" si="8"/>
        <v>25.125</v>
      </c>
      <c r="B728" s="921"/>
      <c r="C728" s="930" t="s">
        <v>474</v>
      </c>
    </row>
    <row r="729" spans="1:3" ht="11.25">
      <c r="A729" s="41">
        <f t="shared" si="8"/>
        <v>25.1875</v>
      </c>
      <c r="B729" s="921"/>
      <c r="C729" s="930" t="s">
        <v>475</v>
      </c>
    </row>
    <row r="730" spans="1:3" ht="11.25">
      <c r="A730" s="41">
        <f t="shared" si="8"/>
        <v>25.25</v>
      </c>
      <c r="B730" s="921"/>
      <c r="C730" s="930" t="s">
        <v>476</v>
      </c>
    </row>
    <row r="731" spans="1:3" ht="11.25">
      <c r="A731" s="41">
        <f t="shared" si="8"/>
        <v>25.3125</v>
      </c>
      <c r="B731" s="921"/>
      <c r="C731" s="930" t="s">
        <v>477</v>
      </c>
    </row>
    <row r="732" spans="1:3" ht="11.25">
      <c r="A732" s="41">
        <f t="shared" si="8"/>
        <v>25.375</v>
      </c>
      <c r="B732" s="921"/>
      <c r="C732" s="930" t="s">
        <v>478</v>
      </c>
    </row>
    <row r="733" spans="1:3" ht="11.25">
      <c r="A733" s="41">
        <f t="shared" si="8"/>
        <v>25.4375</v>
      </c>
      <c r="B733" s="921"/>
      <c r="C733" s="930" t="s">
        <v>479</v>
      </c>
    </row>
    <row r="734" spans="1:3" ht="11.25">
      <c r="A734" s="41">
        <f t="shared" si="8"/>
        <v>25.5</v>
      </c>
      <c r="B734" s="921"/>
      <c r="C734" s="930" t="s">
        <v>480</v>
      </c>
    </row>
    <row r="735" spans="1:3" ht="11.25">
      <c r="A735" s="41">
        <f t="shared" si="8"/>
        <v>25.5625</v>
      </c>
      <c r="B735" s="921"/>
      <c r="C735" s="930" t="s">
        <v>481</v>
      </c>
    </row>
    <row r="736" spans="1:3" ht="11.25">
      <c r="A736" s="41">
        <f t="shared" si="8"/>
        <v>25.625</v>
      </c>
      <c r="B736" s="921"/>
      <c r="C736" s="930" t="s">
        <v>482</v>
      </c>
    </row>
    <row r="737" spans="1:3" ht="11.25">
      <c r="A737" s="41">
        <f t="shared" si="8"/>
        <v>25.6875</v>
      </c>
      <c r="B737" s="921"/>
      <c r="C737" s="930" t="s">
        <v>483</v>
      </c>
    </row>
    <row r="738" spans="1:3" ht="11.25">
      <c r="A738" s="41">
        <f t="shared" si="8"/>
        <v>25.75</v>
      </c>
      <c r="B738" s="921"/>
      <c r="C738" s="930" t="s">
        <v>484</v>
      </c>
    </row>
    <row r="739" spans="1:3" ht="11.25">
      <c r="A739" s="41">
        <f t="shared" si="8"/>
        <v>25.8125</v>
      </c>
      <c r="B739" s="921"/>
      <c r="C739" s="930" t="s">
        <v>485</v>
      </c>
    </row>
    <row r="740" spans="1:3" ht="11.25">
      <c r="A740" s="41">
        <f t="shared" si="8"/>
        <v>25.875</v>
      </c>
      <c r="B740" s="921"/>
      <c r="C740" s="930" t="s">
        <v>486</v>
      </c>
    </row>
    <row r="741" spans="1:3" ht="11.25">
      <c r="A741" s="41">
        <f t="shared" si="8"/>
        <v>25.9375</v>
      </c>
      <c r="B741" s="921"/>
      <c r="C741" s="930" t="s">
        <v>487</v>
      </c>
    </row>
    <row r="742" spans="1:3" ht="11.25">
      <c r="A742" s="41">
        <f t="shared" si="8"/>
        <v>26</v>
      </c>
      <c r="B742" s="921"/>
      <c r="C742" s="930" t="s">
        <v>488</v>
      </c>
    </row>
    <row r="743" spans="1:3" ht="11.25">
      <c r="A743" s="41">
        <f t="shared" si="8"/>
        <v>26.0625</v>
      </c>
      <c r="B743" s="921"/>
      <c r="C743" s="930" t="s">
        <v>489</v>
      </c>
    </row>
    <row r="744" spans="1:3" ht="11.25">
      <c r="A744" s="41">
        <f t="shared" si="8"/>
        <v>26.125</v>
      </c>
      <c r="B744" s="921"/>
      <c r="C744" s="930" t="s">
        <v>490</v>
      </c>
    </row>
    <row r="745" spans="1:3" ht="11.25">
      <c r="A745" s="41">
        <f t="shared" si="8"/>
        <v>26.1875</v>
      </c>
      <c r="B745" s="921"/>
      <c r="C745" s="930" t="s">
        <v>491</v>
      </c>
    </row>
    <row r="746" spans="1:3" ht="11.25">
      <c r="A746" s="41">
        <f t="shared" si="8"/>
        <v>26.25</v>
      </c>
      <c r="B746" s="921"/>
      <c r="C746" s="930" t="s">
        <v>492</v>
      </c>
    </row>
    <row r="747" spans="1:3" ht="11.25">
      <c r="A747" s="41">
        <f t="shared" si="8"/>
        <v>26.3125</v>
      </c>
      <c r="B747" s="921"/>
      <c r="C747" s="930" t="s">
        <v>493</v>
      </c>
    </row>
    <row r="748" spans="1:3" ht="11.25">
      <c r="A748" s="41">
        <f t="shared" si="8"/>
        <v>26.375</v>
      </c>
      <c r="B748" s="921"/>
      <c r="C748" s="930" t="s">
        <v>494</v>
      </c>
    </row>
    <row r="749" spans="1:3" ht="11.25">
      <c r="A749" s="41">
        <f t="shared" si="8"/>
        <v>26.4375</v>
      </c>
      <c r="B749" s="921"/>
      <c r="C749" s="930" t="s">
        <v>495</v>
      </c>
    </row>
    <row r="750" spans="1:3" ht="11.25">
      <c r="A750" s="41">
        <f t="shared" si="8"/>
        <v>26.5</v>
      </c>
      <c r="B750" s="921"/>
      <c r="C750" s="930" t="s">
        <v>496</v>
      </c>
    </row>
    <row r="751" spans="1:3" ht="11.25">
      <c r="A751" s="41">
        <f t="shared" si="8"/>
        <v>26.5625</v>
      </c>
      <c r="B751" s="921"/>
      <c r="C751" s="930" t="s">
        <v>497</v>
      </c>
    </row>
    <row r="752" spans="1:3" ht="11.25">
      <c r="A752" s="41">
        <f t="shared" si="8"/>
        <v>26.625</v>
      </c>
      <c r="B752" s="921"/>
      <c r="C752" s="930" t="s">
        <v>498</v>
      </c>
    </row>
    <row r="753" spans="1:3" ht="11.25">
      <c r="A753" s="41">
        <f t="shared" si="8"/>
        <v>26.6875</v>
      </c>
      <c r="B753" s="921"/>
      <c r="C753" s="930" t="s">
        <v>499</v>
      </c>
    </row>
    <row r="754" spans="1:3" ht="11.25">
      <c r="A754" s="41">
        <f t="shared" si="8"/>
        <v>26.75</v>
      </c>
      <c r="B754" s="921"/>
      <c r="C754" s="930" t="s">
        <v>500</v>
      </c>
    </row>
    <row r="755" spans="1:3" ht="11.25">
      <c r="A755" s="41">
        <f t="shared" si="8"/>
        <v>26.8125</v>
      </c>
      <c r="B755" s="921"/>
      <c r="C755" s="930" t="s">
        <v>501</v>
      </c>
    </row>
    <row r="756" spans="1:3" ht="11.25">
      <c r="A756" s="41">
        <f t="shared" si="8"/>
        <v>26.875</v>
      </c>
      <c r="B756" s="921"/>
      <c r="C756" s="930" t="s">
        <v>502</v>
      </c>
    </row>
    <row r="757" spans="1:3" ht="11.25">
      <c r="A757" s="41">
        <f t="shared" si="8"/>
        <v>26.9375</v>
      </c>
      <c r="B757" s="921"/>
      <c r="C757" s="930" t="s">
        <v>503</v>
      </c>
    </row>
    <row r="758" spans="1:3" ht="11.25">
      <c r="A758" s="41">
        <f t="shared" si="8"/>
        <v>27</v>
      </c>
      <c r="B758" s="921"/>
      <c r="C758" s="930" t="s">
        <v>504</v>
      </c>
    </row>
    <row r="759" spans="1:3" ht="11.25">
      <c r="A759" s="41">
        <f t="shared" si="8"/>
        <v>27.0625</v>
      </c>
      <c r="B759" s="921"/>
      <c r="C759" s="930" t="s">
        <v>505</v>
      </c>
    </row>
    <row r="760" spans="1:3" ht="11.25">
      <c r="A760" s="41">
        <f t="shared" si="8"/>
        <v>27.125</v>
      </c>
      <c r="B760" s="921"/>
      <c r="C760" s="930" t="s">
        <v>506</v>
      </c>
    </row>
    <row r="761" spans="1:3" ht="11.25">
      <c r="A761" s="41">
        <f t="shared" si="8"/>
        <v>27.1875</v>
      </c>
      <c r="B761" s="921"/>
      <c r="C761" s="930" t="s">
        <v>507</v>
      </c>
    </row>
    <row r="762" spans="1:3" ht="11.25">
      <c r="A762" s="41">
        <f t="shared" si="8"/>
        <v>27.25</v>
      </c>
      <c r="B762" s="921"/>
      <c r="C762" s="930" t="s">
        <v>508</v>
      </c>
    </row>
    <row r="763" spans="1:3" ht="11.25">
      <c r="A763" s="41">
        <f t="shared" si="8"/>
        <v>27.3125</v>
      </c>
      <c r="B763" s="921"/>
      <c r="C763" s="930" t="s">
        <v>509</v>
      </c>
    </row>
    <row r="764" spans="1:3" ht="11.25">
      <c r="A764" s="41">
        <f t="shared" si="8"/>
        <v>27.375</v>
      </c>
      <c r="B764" s="921"/>
      <c r="C764" s="930" t="s">
        <v>510</v>
      </c>
    </row>
    <row r="765" spans="1:3" ht="11.25">
      <c r="A765" s="41">
        <f t="shared" si="8"/>
        <v>27.4375</v>
      </c>
      <c r="B765" s="921"/>
      <c r="C765" s="930" t="s">
        <v>511</v>
      </c>
    </row>
    <row r="766" spans="1:3" ht="11.25">
      <c r="A766" s="41">
        <f t="shared" si="8"/>
        <v>27.5</v>
      </c>
      <c r="B766" s="921"/>
      <c r="C766" s="930" t="s">
        <v>512</v>
      </c>
    </row>
    <row r="767" spans="1:3" ht="11.25">
      <c r="A767" s="41">
        <f t="shared" si="8"/>
        <v>27.5625</v>
      </c>
      <c r="B767" s="921"/>
      <c r="C767" s="930" t="s">
        <v>513</v>
      </c>
    </row>
    <row r="768" spans="1:3" ht="11.25">
      <c r="A768" s="41">
        <f t="shared" si="8"/>
        <v>27.625</v>
      </c>
      <c r="B768" s="921"/>
      <c r="C768" s="930" t="s">
        <v>514</v>
      </c>
    </row>
    <row r="769" spans="1:3" ht="11.25">
      <c r="A769" s="41">
        <f t="shared" si="8"/>
        <v>27.6875</v>
      </c>
      <c r="B769" s="921"/>
      <c r="C769" s="930" t="s">
        <v>515</v>
      </c>
    </row>
    <row r="770" spans="1:3" ht="11.25">
      <c r="A770" s="41">
        <f t="shared" si="8"/>
        <v>27.75</v>
      </c>
      <c r="B770" s="921"/>
      <c r="C770" s="930" t="s">
        <v>516</v>
      </c>
    </row>
    <row r="771" spans="1:3" ht="11.25">
      <c r="A771" s="41">
        <f t="shared" si="8"/>
        <v>27.8125</v>
      </c>
      <c r="B771" s="921"/>
      <c r="C771" s="930" t="s">
        <v>517</v>
      </c>
    </row>
    <row r="772" spans="1:3" ht="11.25">
      <c r="A772" s="41">
        <f t="shared" si="8"/>
        <v>27.875</v>
      </c>
      <c r="B772" s="921"/>
      <c r="C772" s="930" t="s">
        <v>518</v>
      </c>
    </row>
    <row r="773" spans="1:3" ht="11.25">
      <c r="A773" s="41">
        <f t="shared" si="8"/>
        <v>27.9375</v>
      </c>
      <c r="B773" s="921"/>
      <c r="C773" s="930" t="s">
        <v>519</v>
      </c>
    </row>
    <row r="774" spans="1:3" ht="11.25">
      <c r="A774" s="41">
        <f t="shared" si="8"/>
        <v>28</v>
      </c>
      <c r="B774" s="921"/>
      <c r="C774" s="930" t="s">
        <v>520</v>
      </c>
    </row>
    <row r="775" spans="1:3" ht="11.25">
      <c r="A775" s="41">
        <f t="shared" si="8"/>
        <v>28.0625</v>
      </c>
      <c r="B775" s="921"/>
      <c r="C775" s="930" t="s">
        <v>521</v>
      </c>
    </row>
    <row r="776" spans="1:3" ht="11.25">
      <c r="A776" s="41">
        <f t="shared" si="8"/>
        <v>28.125</v>
      </c>
      <c r="B776" s="921"/>
      <c r="C776" s="930" t="s">
        <v>522</v>
      </c>
    </row>
    <row r="777" spans="1:3" ht="11.25">
      <c r="A777" s="41">
        <f t="shared" si="8"/>
        <v>28.1875</v>
      </c>
      <c r="B777" s="921"/>
      <c r="C777" s="930" t="s">
        <v>523</v>
      </c>
    </row>
    <row r="778" spans="1:3" ht="11.25">
      <c r="A778" s="41">
        <f t="shared" si="8"/>
        <v>28.25</v>
      </c>
      <c r="B778" s="921"/>
      <c r="C778" s="930" t="s">
        <v>524</v>
      </c>
    </row>
    <row r="779" spans="1:3" ht="11.25">
      <c r="A779" s="41">
        <f t="shared" si="8"/>
        <v>28.3125</v>
      </c>
      <c r="B779" s="921"/>
      <c r="C779" s="930" t="s">
        <v>525</v>
      </c>
    </row>
    <row r="780" spans="1:3" ht="11.25">
      <c r="A780" s="41">
        <f t="shared" si="8"/>
        <v>28.375</v>
      </c>
      <c r="B780" s="921"/>
      <c r="C780" s="930" t="s">
        <v>526</v>
      </c>
    </row>
    <row r="781" spans="1:3" ht="11.25">
      <c r="A781" s="41">
        <f t="shared" si="8"/>
        <v>28.4375</v>
      </c>
      <c r="B781" s="921"/>
      <c r="C781" s="930" t="s">
        <v>527</v>
      </c>
    </row>
    <row r="782" spans="1:3" ht="11.25">
      <c r="A782" s="41">
        <f t="shared" si="8"/>
        <v>28.5</v>
      </c>
      <c r="B782" s="921"/>
      <c r="C782" s="930" t="s">
        <v>528</v>
      </c>
    </row>
    <row r="783" spans="1:3" ht="11.25">
      <c r="A783" s="41">
        <f t="shared" si="8"/>
        <v>28.5625</v>
      </c>
      <c r="B783" s="921"/>
      <c r="C783" s="930" t="s">
        <v>529</v>
      </c>
    </row>
    <row r="784" spans="1:3" ht="11.25">
      <c r="A784" s="41">
        <f t="shared" si="8"/>
        <v>28.625</v>
      </c>
      <c r="B784" s="921"/>
      <c r="C784" s="930" t="s">
        <v>530</v>
      </c>
    </row>
    <row r="785" spans="1:3" ht="11.25">
      <c r="A785" s="41">
        <f t="shared" si="8"/>
        <v>28.6875</v>
      </c>
      <c r="B785" s="921"/>
      <c r="C785" s="930" t="s">
        <v>531</v>
      </c>
    </row>
    <row r="786" spans="1:3" ht="11.25">
      <c r="A786" s="41">
        <f t="shared" si="8"/>
        <v>28.75</v>
      </c>
      <c r="B786" s="921"/>
      <c r="C786" s="930" t="s">
        <v>532</v>
      </c>
    </row>
    <row r="787" spans="1:3" ht="11.25">
      <c r="A787" s="41">
        <f t="shared" si="8"/>
        <v>28.8125</v>
      </c>
      <c r="B787" s="921"/>
      <c r="C787" s="930" t="s">
        <v>533</v>
      </c>
    </row>
    <row r="788" spans="1:3" ht="11.25">
      <c r="A788" s="41">
        <f t="shared" si="8"/>
        <v>28.875</v>
      </c>
      <c r="B788" s="921"/>
      <c r="C788" s="930" t="s">
        <v>534</v>
      </c>
    </row>
    <row r="789" spans="1:3" ht="11.25">
      <c r="A789" s="41">
        <f t="shared" si="8"/>
        <v>28.9375</v>
      </c>
      <c r="B789" s="921"/>
      <c r="C789" s="930" t="s">
        <v>535</v>
      </c>
    </row>
    <row r="790" spans="1:3" ht="11.25">
      <c r="A790" s="41">
        <f t="shared" si="8"/>
        <v>29</v>
      </c>
      <c r="B790" s="921"/>
      <c r="C790" s="930" t="s">
        <v>536</v>
      </c>
    </row>
    <row r="791" spans="1:3" ht="11.25">
      <c r="A791" s="41">
        <f aca="true" t="shared" si="9" ref="A791:A808">A790+0.0625</f>
        <v>29.0625</v>
      </c>
      <c r="B791" s="921"/>
      <c r="C791" s="930" t="s">
        <v>537</v>
      </c>
    </row>
    <row r="792" spans="1:3" ht="11.25">
      <c r="A792" s="41">
        <f t="shared" si="9"/>
        <v>29.125</v>
      </c>
      <c r="B792" s="921"/>
      <c r="C792" s="930" t="s">
        <v>538</v>
      </c>
    </row>
    <row r="793" spans="1:3" ht="11.25">
      <c r="A793" s="41">
        <f t="shared" si="9"/>
        <v>29.1875</v>
      </c>
      <c r="B793" s="921"/>
      <c r="C793" s="930" t="s">
        <v>539</v>
      </c>
    </row>
    <row r="794" spans="1:3" ht="11.25">
      <c r="A794" s="41">
        <f t="shared" si="9"/>
        <v>29.25</v>
      </c>
      <c r="B794" s="921"/>
      <c r="C794" s="930" t="s">
        <v>540</v>
      </c>
    </row>
    <row r="795" spans="1:3" ht="11.25">
      <c r="A795" s="41">
        <f t="shared" si="9"/>
        <v>29.3125</v>
      </c>
      <c r="B795" s="921"/>
      <c r="C795" s="930" t="s">
        <v>541</v>
      </c>
    </row>
    <row r="796" spans="1:3" ht="11.25">
      <c r="A796" s="41">
        <f t="shared" si="9"/>
        <v>29.375</v>
      </c>
      <c r="B796" s="921"/>
      <c r="C796" s="930" t="s">
        <v>542</v>
      </c>
    </row>
    <row r="797" spans="1:3" ht="11.25">
      <c r="A797" s="41">
        <f t="shared" si="9"/>
        <v>29.4375</v>
      </c>
      <c r="B797" s="921"/>
      <c r="C797" s="930" t="s">
        <v>543</v>
      </c>
    </row>
    <row r="798" spans="1:3" ht="11.25">
      <c r="A798" s="41">
        <f t="shared" si="9"/>
        <v>29.5</v>
      </c>
      <c r="B798" s="921"/>
      <c r="C798" s="930" t="s">
        <v>544</v>
      </c>
    </row>
    <row r="799" spans="1:3" ht="11.25">
      <c r="A799" s="41">
        <f t="shared" si="9"/>
        <v>29.5625</v>
      </c>
      <c r="B799" s="921"/>
      <c r="C799" s="930" t="s">
        <v>545</v>
      </c>
    </row>
    <row r="800" spans="1:3" ht="11.25">
      <c r="A800" s="41">
        <f t="shared" si="9"/>
        <v>29.625</v>
      </c>
      <c r="B800" s="921"/>
      <c r="C800" s="930" t="s">
        <v>546</v>
      </c>
    </row>
    <row r="801" spans="1:3" ht="11.25">
      <c r="A801" s="41">
        <f t="shared" si="9"/>
        <v>29.6875</v>
      </c>
      <c r="B801" s="921"/>
      <c r="C801" s="930" t="s">
        <v>547</v>
      </c>
    </row>
    <row r="802" spans="1:3" ht="11.25">
      <c r="A802" s="41">
        <f t="shared" si="9"/>
        <v>29.75</v>
      </c>
      <c r="B802" s="921"/>
      <c r="C802" s="930" t="s">
        <v>548</v>
      </c>
    </row>
    <row r="803" spans="1:3" ht="11.25">
      <c r="A803" s="41">
        <f t="shared" si="9"/>
        <v>29.8125</v>
      </c>
      <c r="B803" s="921"/>
      <c r="C803" s="930" t="s">
        <v>549</v>
      </c>
    </row>
    <row r="804" spans="1:3" ht="11.25">
      <c r="A804" s="41">
        <f t="shared" si="9"/>
        <v>29.875</v>
      </c>
      <c r="B804" s="921"/>
      <c r="C804" s="930" t="s">
        <v>550</v>
      </c>
    </row>
    <row r="805" spans="1:3" ht="11.25">
      <c r="A805" s="41">
        <f t="shared" si="9"/>
        <v>29.9375</v>
      </c>
      <c r="B805" s="921"/>
      <c r="C805" s="930" t="s">
        <v>551</v>
      </c>
    </row>
    <row r="806" spans="1:3" ht="11.25">
      <c r="A806" s="41">
        <f t="shared" si="9"/>
        <v>30</v>
      </c>
      <c r="B806" s="921"/>
      <c r="C806" s="930" t="s">
        <v>552</v>
      </c>
    </row>
    <row r="807" spans="1:3" ht="11.25">
      <c r="A807" s="41">
        <f t="shared" si="9"/>
        <v>30.0625</v>
      </c>
      <c r="B807" s="921"/>
      <c r="C807" s="930" t="s">
        <v>553</v>
      </c>
    </row>
    <row r="808" spans="1:3" ht="11.25">
      <c r="A808" s="42">
        <f t="shared" si="9"/>
        <v>30.125</v>
      </c>
      <c r="B808" s="931"/>
      <c r="C808" s="932" t="s">
        <v>554</v>
      </c>
    </row>
  </sheetData>
  <sheetProtection sheet="1"/>
  <mergeCells count="4">
    <mergeCell ref="F1:H1"/>
    <mergeCell ref="F68:H68"/>
    <mergeCell ref="F268:H268"/>
    <mergeCell ref="F293:H29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U9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3.28125" style="47" customWidth="1"/>
    <col min="2" max="2" width="20.7109375" style="47" customWidth="1"/>
    <col min="3" max="3" width="15.7109375" style="47" customWidth="1"/>
    <col min="4" max="4" width="13.57421875" style="47" customWidth="1"/>
    <col min="5" max="6" width="15.7109375" style="47" customWidth="1"/>
    <col min="7" max="7" width="9.140625" style="47" customWidth="1"/>
    <col min="8" max="8" width="16.28125" style="47" customWidth="1"/>
    <col min="9" max="9" width="6.7109375" style="47" customWidth="1"/>
    <col min="10" max="250" width="9.140625" style="47" customWidth="1"/>
    <col min="251" max="251" width="12.8515625" style="47" bestFit="1" customWidth="1"/>
    <col min="252" max="16384" width="9.140625" style="47" customWidth="1"/>
  </cols>
  <sheetData>
    <row r="1" spans="1:255" ht="12.75">
      <c r="A1" s="1020" t="s">
        <v>831</v>
      </c>
      <c r="B1" s="1020"/>
      <c r="C1" s="1020"/>
      <c r="D1" s="1020"/>
      <c r="E1" s="1020"/>
      <c r="F1" s="345"/>
      <c r="G1" s="345"/>
      <c r="H1" s="345"/>
      <c r="I1" s="345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</row>
    <row r="2" spans="7:255" ht="12.75">
      <c r="G2" s="345"/>
      <c r="H2" s="345"/>
      <c r="I2" s="345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</row>
    <row r="3" spans="1:255" ht="13.5" thickBot="1">
      <c r="A3" s="345"/>
      <c r="B3" s="345"/>
      <c r="C3" s="345"/>
      <c r="D3" s="345"/>
      <c r="E3" s="345"/>
      <c r="F3" s="46" t="str">
        <f>Main!J1</f>
        <v>Revised 4/22/16</v>
      </c>
      <c r="G3" s="345"/>
      <c r="H3" s="345"/>
      <c r="I3" s="345"/>
      <c r="N3" s="47" t="s">
        <v>672</v>
      </c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</row>
    <row r="4" spans="1:255" ht="15.75">
      <c r="A4" s="346" t="s">
        <v>652</v>
      </c>
      <c r="B4" s="347"/>
      <c r="C4" s="347"/>
      <c r="D4" s="348"/>
      <c r="E4" s="347"/>
      <c r="F4" s="347"/>
      <c r="G4" s="349"/>
      <c r="H4" s="345"/>
      <c r="I4" s="350"/>
      <c r="J4" s="49"/>
      <c r="N4" s="163" t="s">
        <v>94</v>
      </c>
      <c r="V4" s="48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</row>
    <row r="5" spans="1:255" ht="12.75">
      <c r="A5" s="351"/>
      <c r="B5" s="448"/>
      <c r="C5" s="352"/>
      <c r="D5" s="353" t="s">
        <v>663</v>
      </c>
      <c r="E5" s="452">
        <f>IF($B$10="","",VLOOKUP($B$10,Data!$A$243:$E$265,2,FALSE))</f>
      </c>
      <c r="F5" s="354"/>
      <c r="G5" s="355"/>
      <c r="H5" s="345"/>
      <c r="I5" s="356"/>
      <c r="J5" s="49"/>
      <c r="N5" s="163" t="s">
        <v>673</v>
      </c>
      <c r="V5" s="48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</row>
    <row r="6" spans="1:255" ht="12.75">
      <c r="A6" s="351" t="s">
        <v>675</v>
      </c>
      <c r="B6" s="25"/>
      <c r="C6" s="357"/>
      <c r="D6" s="353"/>
      <c r="E6" s="453">
        <f>IF($B$10="","",VLOOKUP($B$10,Data!$A$243:$E$265,3,FALSE))</f>
      </c>
      <c r="F6" s="358"/>
      <c r="G6" s="355"/>
      <c r="H6" s="345"/>
      <c r="I6" s="356"/>
      <c r="J6" s="49"/>
      <c r="N6" s="48"/>
      <c r="V6" s="48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</row>
    <row r="7" spans="1:255" ht="12.75">
      <c r="A7" s="351" t="s">
        <v>954</v>
      </c>
      <c r="B7" s="133"/>
      <c r="C7" s="357"/>
      <c r="D7" s="353" t="s">
        <v>664</v>
      </c>
      <c r="E7" s="113"/>
      <c r="F7" s="359"/>
      <c r="G7" s="355"/>
      <c r="H7" s="345"/>
      <c r="I7" s="356"/>
      <c r="J7" s="49"/>
      <c r="N7" s="48"/>
      <c r="V7" s="48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</row>
    <row r="8" spans="1:255" ht="12.75">
      <c r="A8" s="351" t="s">
        <v>953</v>
      </c>
      <c r="B8" s="133"/>
      <c r="C8" s="357"/>
      <c r="D8" s="353" t="s">
        <v>665</v>
      </c>
      <c r="E8" s="449">
        <f>IF($E$7="","",VLOOKUP($E$7,Data!$B$71:$J$146,3,FALSE))</f>
      </c>
      <c r="F8" s="358"/>
      <c r="G8" s="355"/>
      <c r="H8" s="345"/>
      <c r="I8" s="356"/>
      <c r="J8" s="49"/>
      <c r="N8" s="161"/>
      <c r="O8" s="49"/>
      <c r="P8" s="49"/>
      <c r="Q8" s="49"/>
      <c r="R8" s="49"/>
      <c r="S8" s="49"/>
      <c r="T8" s="49"/>
      <c r="V8" s="48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</row>
    <row r="9" spans="1:255" ht="12.75">
      <c r="A9" s="351" t="s">
        <v>103</v>
      </c>
      <c r="B9" s="25"/>
      <c r="C9" s="357"/>
      <c r="D9" s="353" t="s">
        <v>988</v>
      </c>
      <c r="E9" s="449">
        <f>IF($E$7="","",VLOOKUP($E$7,Data!$B$71:$J$146,4,FALSE))</f>
      </c>
      <c r="F9" s="358"/>
      <c r="G9" s="355"/>
      <c r="H9" s="345"/>
      <c r="I9" s="361"/>
      <c r="J9" s="49"/>
      <c r="N9" s="161"/>
      <c r="O9" s="49"/>
      <c r="P9" s="49"/>
      <c r="Q9" s="49"/>
      <c r="R9" s="49"/>
      <c r="S9" s="49"/>
      <c r="T9" s="49"/>
      <c r="V9" s="48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</row>
    <row r="10" spans="1:255" ht="12.75">
      <c r="A10" s="351" t="s">
        <v>983</v>
      </c>
      <c r="B10" s="25"/>
      <c r="C10" s="357"/>
      <c r="D10" s="353" t="s">
        <v>958</v>
      </c>
      <c r="E10" s="449">
        <f>IF($E$7="","",VLOOKUP($E$7,Data!$B$71:$J$146,5,FALSE))</f>
      </c>
      <c r="F10" s="358"/>
      <c r="G10" s="355"/>
      <c r="H10" s="345"/>
      <c r="I10" s="345"/>
      <c r="N10" s="161"/>
      <c r="O10" s="49"/>
      <c r="P10" s="49"/>
      <c r="Q10" s="49"/>
      <c r="R10" s="49"/>
      <c r="S10" s="49"/>
      <c r="T10" s="49"/>
      <c r="V10" s="48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</row>
    <row r="11" spans="1:255" ht="12.75">
      <c r="A11" s="351" t="s">
        <v>676</v>
      </c>
      <c r="B11" s="133"/>
      <c r="C11" s="357"/>
      <c r="D11" s="353" t="s">
        <v>989</v>
      </c>
      <c r="E11" s="449">
        <f>IF($E$7="","",VLOOKUP($E$7,Data!$B$71:$J$146,6,FALSE))</f>
      </c>
      <c r="F11" s="358"/>
      <c r="G11" s="355"/>
      <c r="H11" s="345"/>
      <c r="I11" s="345"/>
      <c r="N11" s="161"/>
      <c r="O11" s="49"/>
      <c r="P11" s="49"/>
      <c r="Q11" s="49"/>
      <c r="R11" s="49"/>
      <c r="S11" s="49"/>
      <c r="T11" s="49"/>
      <c r="V11" s="48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</row>
    <row r="12" spans="1:255" ht="12.75">
      <c r="A12" s="351" t="s">
        <v>966</v>
      </c>
      <c r="B12" s="25"/>
      <c r="C12" s="357"/>
      <c r="D12" s="353" t="s">
        <v>959</v>
      </c>
      <c r="E12" s="449">
        <f>IF($E$7="","",VLOOKUP($E$7,Data!$B$71:$J$146,7,FALSE))</f>
      </c>
      <c r="F12" s="358"/>
      <c r="G12" s="355"/>
      <c r="H12" s="345"/>
      <c r="I12" s="345"/>
      <c r="N12" s="161"/>
      <c r="O12" s="49"/>
      <c r="P12" s="49"/>
      <c r="Q12" s="49"/>
      <c r="R12" s="49"/>
      <c r="S12" s="49"/>
      <c r="T12" s="49"/>
      <c r="V12" s="48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</row>
    <row r="13" spans="1:255" ht="12.75">
      <c r="A13" s="351" t="s">
        <v>677</v>
      </c>
      <c r="B13" s="25"/>
      <c r="C13" s="357"/>
      <c r="D13" s="353" t="s">
        <v>984</v>
      </c>
      <c r="E13" s="449">
        <f>IF($E$7="","",VLOOKUP($E$7,Data!$B$71:$J$146,8,FALSE))</f>
      </c>
      <c r="F13" s="358"/>
      <c r="G13" s="355"/>
      <c r="H13" s="345"/>
      <c r="I13" s="345"/>
      <c r="N13" s="161"/>
      <c r="O13" s="49"/>
      <c r="P13" s="49"/>
      <c r="Q13" s="49"/>
      <c r="R13" s="49"/>
      <c r="S13" s="49"/>
      <c r="T13" s="49"/>
      <c r="V13" s="48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</row>
    <row r="14" spans="1:255" ht="12.75">
      <c r="A14" s="362" t="s">
        <v>844</v>
      </c>
      <c r="B14" s="452">
        <f>IF($B$10="","",VLOOKUP($B$10,Data!$A$243:$E$265,5,FALSE))</f>
      </c>
      <c r="C14" s="363"/>
      <c r="D14" s="353" t="s">
        <v>666</v>
      </c>
      <c r="E14" s="977"/>
      <c r="F14" s="364"/>
      <c r="G14" s="355"/>
      <c r="H14" s="345"/>
      <c r="I14" s="345"/>
      <c r="N14" s="161"/>
      <c r="O14" s="49"/>
      <c r="P14" s="49"/>
      <c r="Q14" s="49"/>
      <c r="R14" s="49"/>
      <c r="S14" s="49"/>
      <c r="T14" s="49"/>
      <c r="V14" s="48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</row>
    <row r="15" spans="1:255" ht="12.75">
      <c r="A15" s="365"/>
      <c r="B15" s="363"/>
      <c r="C15" s="363"/>
      <c r="D15" s="363"/>
      <c r="E15" s="363"/>
      <c r="F15" s="363"/>
      <c r="G15" s="355"/>
      <c r="H15" s="345"/>
      <c r="I15" s="345"/>
      <c r="N15" s="160"/>
      <c r="O15" s="49"/>
      <c r="P15" s="49"/>
      <c r="Q15" s="49"/>
      <c r="R15" s="49"/>
      <c r="S15" s="49"/>
      <c r="T15" s="49"/>
      <c r="V15" s="48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</row>
    <row r="16" spans="1:255" ht="12.75">
      <c r="A16" s="366" t="s">
        <v>658</v>
      </c>
      <c r="B16" s="367"/>
      <c r="C16" s="363"/>
      <c r="D16" s="367" t="s">
        <v>670</v>
      </c>
      <c r="E16" s="367"/>
      <c r="F16" s="363"/>
      <c r="G16" s="368"/>
      <c r="H16" s="369"/>
      <c r="I16" s="345"/>
      <c r="N16" s="160"/>
      <c r="O16" s="49"/>
      <c r="P16" s="49"/>
      <c r="Q16" s="49"/>
      <c r="R16" s="49"/>
      <c r="S16" s="49"/>
      <c r="T16" s="49"/>
      <c r="V16" s="48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</row>
    <row r="17" spans="1:255" ht="12.75">
      <c r="A17" s="979"/>
      <c r="B17" s="449">
        <f>IF(A17="","",VLOOKUP($A$17,Data!$A$6:$L$66,3,FALSE))</f>
      </c>
      <c r="C17" s="451"/>
      <c r="D17" s="980"/>
      <c r="E17" s="449">
        <f>IF(D17="","",VLOOKUP($D$17,Data!$A$6:$L$66,3,FALSE))</f>
      </c>
      <c r="F17" s="451"/>
      <c r="G17" s="355"/>
      <c r="H17" s="345"/>
      <c r="I17" s="345"/>
      <c r="N17" s="162"/>
      <c r="O17" s="49"/>
      <c r="P17" s="162"/>
      <c r="Q17" s="49"/>
      <c r="R17" s="49"/>
      <c r="S17" s="49"/>
      <c r="T17" s="49"/>
      <c r="V17" s="48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</row>
    <row r="18" spans="1:255" ht="12.75">
      <c r="A18" s="370" t="s">
        <v>1178</v>
      </c>
      <c r="B18" s="449">
        <f>IF(A17="","",VLOOKUP($A$17,Data!$A$6:$L$66,4,FALSE))</f>
      </c>
      <c r="C18" s="451"/>
      <c r="D18" s="371" t="s">
        <v>987</v>
      </c>
      <c r="E18" s="449">
        <f>IF(D17="","",VLOOKUP($D$17,Data!$A$6:$L$66,4,FALSE))</f>
      </c>
      <c r="F18" s="451"/>
      <c r="G18" s="355"/>
      <c r="H18" s="345"/>
      <c r="I18" s="345"/>
      <c r="N18" s="162"/>
      <c r="O18" s="49"/>
      <c r="P18" s="162"/>
      <c r="Q18" s="49"/>
      <c r="R18" s="49"/>
      <c r="S18" s="49"/>
      <c r="T18" s="49"/>
      <c r="V18" s="48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</row>
    <row r="19" spans="1:255" ht="12.75">
      <c r="A19" s="370" t="s">
        <v>985</v>
      </c>
      <c r="B19" s="450">
        <f>IF(A17="","",VLOOKUP($A$17,Data!$A$6:$L$66,2,FALSE))</f>
      </c>
      <c r="C19" s="451"/>
      <c r="D19" s="371" t="s">
        <v>985</v>
      </c>
      <c r="E19" s="450">
        <f>IF(D17="","",VLOOKUP($D$17,Data!$A$6:$L$66,2,FALSE))</f>
      </c>
      <c r="F19" s="451"/>
      <c r="G19" s="355"/>
      <c r="H19" s="345"/>
      <c r="I19" s="345"/>
      <c r="N19" s="162"/>
      <c r="O19" s="49"/>
      <c r="P19" s="162"/>
      <c r="Q19" s="49"/>
      <c r="R19" s="49"/>
      <c r="S19" s="49"/>
      <c r="T19" s="49"/>
      <c r="V19" s="48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</row>
    <row r="20" spans="1:255" ht="12.75">
      <c r="A20" s="370" t="s">
        <v>1177</v>
      </c>
      <c r="B20" s="449">
        <f>IF(A17="","",VLOOKUP($A$17,Data!$A$6:$L$66,5,FALSE))</f>
      </c>
      <c r="C20" s="451"/>
      <c r="D20" s="371" t="s">
        <v>42</v>
      </c>
      <c r="E20" s="449">
        <f>IF(D17="","",VLOOKUP($D$17,Data!$A$6:$L$66,5,FALSE))</f>
      </c>
      <c r="F20" s="451"/>
      <c r="G20" s="355"/>
      <c r="H20" s="345"/>
      <c r="I20" s="372"/>
      <c r="J20" s="46"/>
      <c r="N20" s="162"/>
      <c r="O20" s="49"/>
      <c r="P20" s="162"/>
      <c r="Q20" s="49"/>
      <c r="R20" s="49"/>
      <c r="S20" s="49"/>
      <c r="T20" s="49"/>
      <c r="V20" s="48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</row>
    <row r="21" spans="1:255" ht="12.75">
      <c r="A21" s="370" t="s">
        <v>669</v>
      </c>
      <c r="B21" s="449">
        <f>IF(A17="","",VLOOKUP($A$17,Data!$A$6:$L$66,6,FALSE))</f>
      </c>
      <c r="C21" s="451"/>
      <c r="D21" s="371" t="s">
        <v>669</v>
      </c>
      <c r="E21" s="449">
        <f>IF(D17="","",VLOOKUP($D$17,Data!$A$6:$L$66,6,FALSE))</f>
      </c>
      <c r="F21" s="451"/>
      <c r="G21" s="355"/>
      <c r="H21" s="345"/>
      <c r="I21" s="345"/>
      <c r="N21" s="162"/>
      <c r="O21" s="49"/>
      <c r="P21" s="162"/>
      <c r="Q21" s="49"/>
      <c r="R21" s="49"/>
      <c r="S21" s="49"/>
      <c r="T21" s="49"/>
      <c r="V21" s="48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</row>
    <row r="22" spans="1:255" ht="12.75">
      <c r="A22" s="370" t="s">
        <v>657</v>
      </c>
      <c r="B22" s="449">
        <f>IF(A17="","",VLOOKUP($A$17,Data!$A$6:$L$66,7,FALSE))</f>
      </c>
      <c r="C22" s="451"/>
      <c r="D22" s="371" t="s">
        <v>657</v>
      </c>
      <c r="E22" s="449">
        <f>IF(D17="","",VLOOKUP($D$17,Data!$A$6:$L$66,7,FALSE))</f>
      </c>
      <c r="F22" s="451"/>
      <c r="G22" s="355"/>
      <c r="H22" s="345"/>
      <c r="I22" s="345"/>
      <c r="N22" s="162"/>
      <c r="O22" s="49"/>
      <c r="P22" s="162"/>
      <c r="Q22" s="49"/>
      <c r="R22" s="49"/>
      <c r="S22" s="49"/>
      <c r="T22" s="49"/>
      <c r="V22" s="48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</row>
    <row r="23" spans="1:255" ht="12.75">
      <c r="A23" s="370"/>
      <c r="B23" s="450">
        <f>IF(A17="","",VLOOKUP($A$17,Data!$A$6:$L$66,8,FALSE))</f>
      </c>
      <c r="C23" s="451"/>
      <c r="D23" s="371"/>
      <c r="E23" s="450">
        <f>IF(D17="","",VLOOKUP($D$17,Data!$A$6:$L$66,8,FALSE))</f>
      </c>
      <c r="F23" s="451"/>
      <c r="G23" s="355"/>
      <c r="H23" s="345"/>
      <c r="I23" s="345"/>
      <c r="N23" s="162"/>
      <c r="O23" s="49"/>
      <c r="P23" s="162"/>
      <c r="Q23" s="49"/>
      <c r="R23" s="49"/>
      <c r="S23" s="49"/>
      <c r="T23" s="49"/>
      <c r="V23" s="48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</row>
    <row r="24" spans="1:255" ht="12.75">
      <c r="A24" s="370" t="s">
        <v>136</v>
      </c>
      <c r="B24" s="449">
        <f>IF(A17="","",VLOOKUP($A$17,Data!$A$6:$L$66,9,FALSE))</f>
      </c>
      <c r="C24" s="451"/>
      <c r="D24" s="371" t="s">
        <v>136</v>
      </c>
      <c r="E24" s="449">
        <f>IF(D17="","",VLOOKUP($D$17,Data!$A$6:$L$66,9,FALSE))</f>
      </c>
      <c r="F24" s="451"/>
      <c r="G24" s="355"/>
      <c r="H24" s="345"/>
      <c r="I24" s="345"/>
      <c r="N24" s="162"/>
      <c r="O24" s="49"/>
      <c r="P24" s="162"/>
      <c r="Q24" s="49"/>
      <c r="R24" s="49"/>
      <c r="S24" s="49"/>
      <c r="T24" s="49"/>
      <c r="V24" s="48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</row>
    <row r="25" spans="1:255" ht="12.75">
      <c r="A25" s="370" t="s">
        <v>959</v>
      </c>
      <c r="B25" s="449">
        <f>IF(A17="","",VLOOKUP($A$17,Data!$A$6:$L$66,10,FALSE))</f>
      </c>
      <c r="C25" s="451"/>
      <c r="D25" s="371" t="s">
        <v>959</v>
      </c>
      <c r="E25" s="449">
        <f>IF(D17="","",VLOOKUP($D$17,Data!$A$6:$L$66,10,FALSE))</f>
      </c>
      <c r="F25" s="451"/>
      <c r="G25" s="355"/>
      <c r="H25" s="345"/>
      <c r="I25" s="345"/>
      <c r="N25" s="162"/>
      <c r="O25" s="49"/>
      <c r="P25" s="162"/>
      <c r="Q25" s="49"/>
      <c r="R25" s="49"/>
      <c r="S25" s="49"/>
      <c r="T25" s="49"/>
      <c r="V25" s="48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</row>
    <row r="26" spans="1:255" ht="12.75">
      <c r="A26" s="370" t="s">
        <v>990</v>
      </c>
      <c r="B26" s="449">
        <f>IF(A17="","",VLOOKUP($A$17,Data!$A$6:$L$66,11,FALSE))</f>
      </c>
      <c r="C26" s="451"/>
      <c r="D26" s="371" t="s">
        <v>990</v>
      </c>
      <c r="E26" s="449">
        <f>IF(D17="","",VLOOKUP($D$17,Data!$A$6:$L$66,11,FALSE))</f>
      </c>
      <c r="F26" s="451"/>
      <c r="G26" s="355"/>
      <c r="H26" s="345"/>
      <c r="I26" s="345"/>
      <c r="N26" s="162"/>
      <c r="O26" s="49"/>
      <c r="P26" s="162"/>
      <c r="Q26" s="49"/>
      <c r="R26" s="49"/>
      <c r="S26" s="49"/>
      <c r="T26" s="49"/>
      <c r="V26" s="48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</row>
    <row r="27" spans="1:255" ht="12.75">
      <c r="A27" s="370" t="s">
        <v>991</v>
      </c>
      <c r="B27" s="449">
        <f>IF(A17="","",VLOOKUP($A$17,Data!$A$6:$L$66,12,FALSE))</f>
      </c>
      <c r="C27" s="451"/>
      <c r="D27" s="371" t="s">
        <v>959</v>
      </c>
      <c r="E27" s="449">
        <f>IF(D17="","",VLOOKUP($D$17,Data!$A$6:$L$66,12,FALSE))</f>
      </c>
      <c r="F27" s="451"/>
      <c r="G27" s="355"/>
      <c r="H27" s="345"/>
      <c r="I27" s="345"/>
      <c r="N27" s="162"/>
      <c r="O27" s="49"/>
      <c r="P27" s="162"/>
      <c r="Q27" s="49"/>
      <c r="R27" s="49"/>
      <c r="S27" s="49"/>
      <c r="T27" s="49"/>
      <c r="V27" s="48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</row>
    <row r="28" spans="1:255" ht="13.5" thickBot="1">
      <c r="A28" s="365"/>
      <c r="B28" s="363"/>
      <c r="C28" s="363"/>
      <c r="D28" s="363"/>
      <c r="E28" s="363"/>
      <c r="F28" s="373"/>
      <c r="G28" s="374"/>
      <c r="H28" s="345"/>
      <c r="I28" s="345"/>
      <c r="N28" s="48"/>
      <c r="V28" s="48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</row>
    <row r="29" spans="1:255" ht="15.75">
      <c r="A29" s="375" t="s">
        <v>583</v>
      </c>
      <c r="B29" s="376"/>
      <c r="C29" s="376"/>
      <c r="D29" s="377"/>
      <c r="E29" s="378"/>
      <c r="F29" s="345"/>
      <c r="G29" s="345"/>
      <c r="H29" s="345"/>
      <c r="I29" s="345"/>
      <c r="V29" s="48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</row>
    <row r="30" spans="1:255" ht="12.75">
      <c r="A30" s="379" t="s">
        <v>976</v>
      </c>
      <c r="B30" s="31"/>
      <c r="C30" s="454"/>
      <c r="D30" s="380"/>
      <c r="E30" s="381"/>
      <c r="F30" s="345"/>
      <c r="G30" s="345"/>
      <c r="H30" s="345"/>
      <c r="I30" s="345"/>
      <c r="V30" s="48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</row>
    <row r="31" spans="1:255" ht="12.75">
      <c r="A31" s="382" t="s">
        <v>977</v>
      </c>
      <c r="B31" s="31"/>
      <c r="C31" s="454"/>
      <c r="D31" s="380"/>
      <c r="E31" s="381"/>
      <c r="F31" s="345"/>
      <c r="G31" s="345"/>
      <c r="H31" s="345"/>
      <c r="I31" s="345"/>
      <c r="V31" s="48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</row>
    <row r="32" spans="1:255" ht="12.75">
      <c r="A32" s="382" t="s">
        <v>972</v>
      </c>
      <c r="B32" s="31"/>
      <c r="C32" s="454"/>
      <c r="D32" s="380"/>
      <c r="E32" s="383"/>
      <c r="F32" s="345"/>
      <c r="G32" s="345"/>
      <c r="H32" s="345"/>
      <c r="I32" s="345"/>
      <c r="V32" s="48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</row>
    <row r="33" spans="1:255" ht="12.75">
      <c r="A33" s="382" t="s">
        <v>978</v>
      </c>
      <c r="B33" s="31"/>
      <c r="C33" s="454"/>
      <c r="D33" s="380"/>
      <c r="E33" s="383"/>
      <c r="F33" s="345"/>
      <c r="G33" s="345"/>
      <c r="H33" s="345"/>
      <c r="I33" s="345"/>
      <c r="V33" s="48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</row>
    <row r="34" spans="1:255" ht="12.75">
      <c r="A34" s="382" t="s">
        <v>975</v>
      </c>
      <c r="B34" s="31"/>
      <c r="C34" s="454"/>
      <c r="D34" s="380"/>
      <c r="E34" s="383"/>
      <c r="F34" s="345"/>
      <c r="G34" s="345"/>
      <c r="H34" s="345"/>
      <c r="I34" s="345"/>
      <c r="V34" s="48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</row>
    <row r="35" spans="1:255" ht="12.75">
      <c r="A35" s="382" t="s">
        <v>698</v>
      </c>
      <c r="B35" s="31"/>
      <c r="C35" s="454"/>
      <c r="D35" s="380"/>
      <c r="E35" s="381"/>
      <c r="F35" s="345"/>
      <c r="G35" s="345"/>
      <c r="H35" s="345"/>
      <c r="I35" s="345"/>
      <c r="V35" s="48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</row>
    <row r="36" spans="1:255" ht="12.75">
      <c r="A36" s="384" t="s">
        <v>697</v>
      </c>
      <c r="B36" s="115"/>
      <c r="C36" s="454"/>
      <c r="D36" s="380"/>
      <c r="E36" s="381"/>
      <c r="F36" s="345"/>
      <c r="G36" s="345"/>
      <c r="H36" s="345"/>
      <c r="I36" s="345"/>
      <c r="V36" s="48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</row>
    <row r="37" spans="1:255" ht="12.75">
      <c r="A37" s="385" t="s">
        <v>981</v>
      </c>
      <c r="B37" s="31"/>
      <c r="C37" s="454"/>
      <c r="D37" s="380"/>
      <c r="E37" s="381"/>
      <c r="F37" s="345"/>
      <c r="G37" s="345"/>
      <c r="H37" s="345"/>
      <c r="I37" s="345"/>
      <c r="V37" s="48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</row>
    <row r="38" spans="1:255" ht="13.5" thickBot="1">
      <c r="A38" s="386"/>
      <c r="B38" s="387"/>
      <c r="C38" s="387"/>
      <c r="D38" s="387"/>
      <c r="E38" s="388"/>
      <c r="F38" s="345"/>
      <c r="G38" s="345"/>
      <c r="H38" s="345"/>
      <c r="I38" s="345"/>
      <c r="V38" s="48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</row>
    <row r="39" spans="1:255" ht="15.75">
      <c r="A39" s="389" t="s">
        <v>656</v>
      </c>
      <c r="B39" s="390"/>
      <c r="C39" s="390"/>
      <c r="D39" s="391"/>
      <c r="E39" s="392"/>
      <c r="F39" s="345"/>
      <c r="G39" s="345"/>
      <c r="H39" s="345"/>
      <c r="I39" s="345"/>
      <c r="V39" s="48"/>
      <c r="IK39" s="49"/>
      <c r="IL39" s="49"/>
      <c r="IM39" s="49"/>
      <c r="IN39" s="49"/>
      <c r="IO39" s="49"/>
      <c r="IP39" s="49"/>
      <c r="IQ39" s="49"/>
      <c r="IR39" s="49"/>
      <c r="IS39" s="49"/>
      <c r="IT39" s="49"/>
      <c r="IU39" s="49"/>
    </row>
    <row r="40" spans="1:255" ht="12.75">
      <c r="A40" s="393" t="s">
        <v>699</v>
      </c>
      <c r="B40" s="31"/>
      <c r="C40" s="359"/>
      <c r="D40" s="394"/>
      <c r="E40" s="392"/>
      <c r="F40" s="345"/>
      <c r="G40" s="345"/>
      <c r="H40" s="345"/>
      <c r="I40" s="345"/>
      <c r="V40" s="48"/>
      <c r="IK40" s="49"/>
      <c r="IL40" s="49"/>
      <c r="IM40" s="49"/>
      <c r="IN40" s="49"/>
      <c r="IO40" s="49"/>
      <c r="IP40" s="49"/>
      <c r="IQ40" s="49"/>
      <c r="IR40" s="49"/>
      <c r="IS40" s="49"/>
      <c r="IT40" s="49"/>
      <c r="IU40" s="49"/>
    </row>
    <row r="41" spans="1:255" ht="12.75">
      <c r="A41" s="395" t="s">
        <v>700</v>
      </c>
      <c r="B41" s="31"/>
      <c r="C41" s="359"/>
      <c r="D41" s="394"/>
      <c r="E41" s="392"/>
      <c r="F41" s="345"/>
      <c r="G41" s="345"/>
      <c r="H41" s="345"/>
      <c r="I41" s="345"/>
      <c r="V41" s="48"/>
      <c r="IK41" s="49"/>
      <c r="IL41" s="49"/>
      <c r="IM41" s="49"/>
      <c r="IN41" s="49"/>
      <c r="IO41" s="49"/>
      <c r="IP41" s="49"/>
      <c r="IQ41" s="49"/>
      <c r="IR41" s="49"/>
      <c r="IS41" s="49"/>
      <c r="IT41" s="49"/>
      <c r="IU41" s="49"/>
    </row>
    <row r="42" spans="1:255" ht="12.75">
      <c r="A42" s="395" t="s">
        <v>701</v>
      </c>
      <c r="B42" s="31"/>
      <c r="C42" s="359"/>
      <c r="D42" s="394"/>
      <c r="E42" s="392"/>
      <c r="F42" s="345"/>
      <c r="G42" s="345"/>
      <c r="H42" s="345"/>
      <c r="I42" s="345"/>
      <c r="V42" s="48"/>
      <c r="IK42" s="49"/>
      <c r="IL42" s="49"/>
      <c r="IM42" s="49"/>
      <c r="IN42" s="49"/>
      <c r="IO42" s="49"/>
      <c r="IP42" s="49"/>
      <c r="IQ42" s="49"/>
      <c r="IR42" s="49"/>
      <c r="IS42" s="49"/>
      <c r="IT42" s="49"/>
      <c r="IU42" s="49"/>
    </row>
    <row r="43" spans="1:255" ht="12.75">
      <c r="A43" s="395" t="s">
        <v>702</v>
      </c>
      <c r="B43" s="31"/>
      <c r="C43" s="359"/>
      <c r="D43" s="394"/>
      <c r="E43" s="392"/>
      <c r="F43" s="345"/>
      <c r="G43" s="345"/>
      <c r="H43" s="345"/>
      <c r="I43" s="345"/>
      <c r="V43" s="48"/>
      <c r="IK43" s="49"/>
      <c r="IL43" s="49"/>
      <c r="IM43" s="49"/>
      <c r="IN43" s="49"/>
      <c r="IO43" s="49"/>
      <c r="IP43" s="49"/>
      <c r="IQ43" s="49"/>
      <c r="IR43" s="49"/>
      <c r="IS43" s="49"/>
      <c r="IT43" s="49"/>
      <c r="IU43" s="49"/>
    </row>
    <row r="44" spans="1:255" ht="12.75">
      <c r="A44" s="395" t="s">
        <v>703</v>
      </c>
      <c r="B44" s="31"/>
      <c r="C44" s="359"/>
      <c r="D44" s="394"/>
      <c r="E44" s="392"/>
      <c r="F44" s="345"/>
      <c r="G44" s="345"/>
      <c r="H44" s="345"/>
      <c r="I44" s="345"/>
      <c r="V44" s="48"/>
      <c r="IK44" s="49"/>
      <c r="IL44" s="49"/>
      <c r="IM44" s="49"/>
      <c r="IN44" s="49"/>
      <c r="IO44" s="49"/>
      <c r="IP44" s="49"/>
      <c r="IQ44" s="49"/>
      <c r="IR44" s="49"/>
      <c r="IS44" s="49"/>
      <c r="IT44" s="49"/>
      <c r="IU44" s="49"/>
    </row>
    <row r="45" spans="1:255" ht="12.75">
      <c r="A45" s="395" t="s">
        <v>704</v>
      </c>
      <c r="B45" s="31"/>
      <c r="C45" s="359"/>
      <c r="D45" s="394"/>
      <c r="E45" s="392"/>
      <c r="F45" s="345"/>
      <c r="G45" s="345"/>
      <c r="H45" s="345"/>
      <c r="I45" s="345"/>
      <c r="V45" s="48"/>
      <c r="IK45" s="49"/>
      <c r="IL45" s="49"/>
      <c r="IM45" s="49"/>
      <c r="IN45" s="49"/>
      <c r="IO45" s="49"/>
      <c r="IP45" s="49"/>
      <c r="IQ45" s="49"/>
      <c r="IR45" s="49"/>
      <c r="IS45" s="49"/>
      <c r="IT45" s="49"/>
      <c r="IU45" s="49"/>
    </row>
    <row r="46" spans="1:255" ht="12.75">
      <c r="A46" s="396"/>
      <c r="B46" s="31"/>
      <c r="C46" s="359"/>
      <c r="D46" s="394"/>
      <c r="E46" s="392"/>
      <c r="F46" s="345"/>
      <c r="G46" s="345"/>
      <c r="H46" s="345"/>
      <c r="I46" s="345"/>
      <c r="V46" s="48"/>
      <c r="IK46" s="49"/>
      <c r="IL46" s="49"/>
      <c r="IM46" s="49"/>
      <c r="IN46" s="49"/>
      <c r="IO46" s="49"/>
      <c r="IP46" s="49"/>
      <c r="IQ46" s="49"/>
      <c r="IR46" s="49"/>
      <c r="IS46" s="49"/>
      <c r="IT46" s="49"/>
      <c r="IU46" s="49"/>
    </row>
    <row r="47" spans="1:255" ht="12.75">
      <c r="A47" s="397"/>
      <c r="B47" s="390" t="s">
        <v>982</v>
      </c>
      <c r="C47" s="390"/>
      <c r="D47" s="391"/>
      <c r="E47" s="392"/>
      <c r="F47" s="345"/>
      <c r="G47" s="345"/>
      <c r="H47" s="345"/>
      <c r="I47" s="345"/>
      <c r="V47" s="48"/>
      <c r="IK47" s="49"/>
      <c r="IL47" s="49"/>
      <c r="IM47" s="49"/>
      <c r="IN47" s="49"/>
      <c r="IO47" s="49"/>
      <c r="IP47" s="49"/>
      <c r="IQ47" s="49"/>
      <c r="IR47" s="49"/>
      <c r="IS47" s="49"/>
      <c r="IT47" s="49"/>
      <c r="IU47" s="49"/>
    </row>
    <row r="48" spans="1:255" ht="13.5" thickBot="1">
      <c r="A48" s="398"/>
      <c r="B48" s="399"/>
      <c r="C48" s="399"/>
      <c r="D48" s="399"/>
      <c r="E48" s="400"/>
      <c r="F48" s="345"/>
      <c r="G48" s="345"/>
      <c r="H48" s="345"/>
      <c r="I48" s="345"/>
      <c r="V48" s="48"/>
      <c r="IK48" s="49"/>
      <c r="IL48" s="49"/>
      <c r="IM48" s="49"/>
      <c r="IN48" s="49"/>
      <c r="IO48" s="49"/>
      <c r="IP48" s="49"/>
      <c r="IQ48" s="49"/>
      <c r="IR48" s="49"/>
      <c r="IS48" s="49"/>
      <c r="IT48" s="49"/>
      <c r="IU48" s="49"/>
    </row>
    <row r="49" spans="1:255" ht="15.75">
      <c r="A49" s="401" t="s">
        <v>671</v>
      </c>
      <c r="B49" s="402"/>
      <c r="C49" s="402"/>
      <c r="D49" s="402"/>
      <c r="E49" s="402"/>
      <c r="F49" s="402"/>
      <c r="G49" s="403"/>
      <c r="H49" s="345"/>
      <c r="I49" s="345"/>
      <c r="V49" s="48"/>
      <c r="IK49" s="49"/>
      <c r="IL49" s="49"/>
      <c r="IM49" s="49"/>
      <c r="IN49" s="49"/>
      <c r="IO49" s="49"/>
      <c r="IP49" s="49"/>
      <c r="IQ49" s="49"/>
      <c r="IR49" s="49"/>
      <c r="IS49" s="49"/>
      <c r="IT49" s="49"/>
      <c r="IU49" s="49"/>
    </row>
    <row r="50" spans="1:255" ht="12.75">
      <c r="A50" s="50"/>
      <c r="B50" s="455"/>
      <c r="C50" s="455"/>
      <c r="D50" s="455"/>
      <c r="E50" s="455"/>
      <c r="F50" s="456"/>
      <c r="G50" s="404"/>
      <c r="H50" s="345"/>
      <c r="I50" s="345"/>
      <c r="V50" s="48"/>
      <c r="IK50" s="49"/>
      <c r="IL50" s="49"/>
      <c r="IM50" s="49"/>
      <c r="IN50" s="49"/>
      <c r="IO50" s="49"/>
      <c r="IP50" s="49"/>
      <c r="IQ50" s="49"/>
      <c r="IR50" s="49"/>
      <c r="IS50" s="49"/>
      <c r="IT50" s="49"/>
      <c r="IU50" s="49"/>
    </row>
    <row r="51" spans="1:255" ht="12.75">
      <c r="A51" s="50"/>
      <c r="B51" s="455"/>
      <c r="C51" s="455"/>
      <c r="D51" s="455"/>
      <c r="E51" s="455"/>
      <c r="F51" s="456"/>
      <c r="G51" s="404"/>
      <c r="H51" s="345"/>
      <c r="I51" s="345"/>
      <c r="V51" s="48"/>
      <c r="IK51" s="49"/>
      <c r="IL51" s="49"/>
      <c r="IM51" s="49"/>
      <c r="IN51" s="49"/>
      <c r="IO51" s="49"/>
      <c r="IP51" s="49"/>
      <c r="IQ51" s="49"/>
      <c r="IR51" s="49"/>
      <c r="IS51" s="49"/>
      <c r="IT51" s="49"/>
      <c r="IU51" s="49"/>
    </row>
    <row r="52" spans="1:255" ht="12.75">
      <c r="A52" s="50"/>
      <c r="B52" s="455"/>
      <c r="C52" s="455"/>
      <c r="D52" s="455"/>
      <c r="E52" s="455"/>
      <c r="F52" s="456"/>
      <c r="G52" s="404"/>
      <c r="H52" s="345"/>
      <c r="I52" s="345"/>
      <c r="V52" s="48"/>
      <c r="IK52" s="49"/>
      <c r="IL52" s="49"/>
      <c r="IM52" s="49"/>
      <c r="IN52" s="49"/>
      <c r="IO52" s="49"/>
      <c r="IP52" s="49"/>
      <c r="IQ52" s="49"/>
      <c r="IR52" s="49"/>
      <c r="IS52" s="49"/>
      <c r="IT52" s="49"/>
      <c r="IU52" s="49"/>
    </row>
    <row r="53" spans="1:255" ht="12.75">
      <c r="A53" s="50"/>
      <c r="B53" s="455"/>
      <c r="C53" s="455"/>
      <c r="D53" s="455"/>
      <c r="E53" s="455"/>
      <c r="F53" s="456"/>
      <c r="G53" s="404"/>
      <c r="H53" s="345"/>
      <c r="I53" s="345"/>
      <c r="V53" s="48"/>
      <c r="IK53" s="49"/>
      <c r="IL53" s="49"/>
      <c r="IM53" s="49"/>
      <c r="IN53" s="49"/>
      <c r="IO53" s="49"/>
      <c r="IP53" s="49"/>
      <c r="IQ53" s="49"/>
      <c r="IR53" s="49"/>
      <c r="IS53" s="49"/>
      <c r="IT53" s="49"/>
      <c r="IU53" s="49"/>
    </row>
    <row r="54" spans="1:255" ht="12.75">
      <c r="A54" s="50"/>
      <c r="B54" s="455"/>
      <c r="C54" s="455"/>
      <c r="D54" s="455"/>
      <c r="E54" s="455"/>
      <c r="F54" s="456"/>
      <c r="G54" s="405"/>
      <c r="H54" s="345"/>
      <c r="I54" s="345"/>
      <c r="V54" s="48"/>
      <c r="IK54" s="49"/>
      <c r="IL54" s="49"/>
      <c r="IM54" s="49"/>
      <c r="IN54" s="49"/>
      <c r="IO54" s="49"/>
      <c r="IP54" s="49"/>
      <c r="IQ54" s="49"/>
      <c r="IR54" s="49"/>
      <c r="IS54" s="49"/>
      <c r="IT54" s="49"/>
      <c r="IU54" s="49"/>
    </row>
    <row r="55" spans="1:255" ht="12.75">
      <c r="A55" s="50"/>
      <c r="B55" s="455"/>
      <c r="C55" s="455"/>
      <c r="D55" s="455"/>
      <c r="E55" s="455"/>
      <c r="F55" s="456"/>
      <c r="G55" s="405"/>
      <c r="H55" s="345"/>
      <c r="I55" s="345"/>
      <c r="V55" s="48"/>
      <c r="II55" s="49"/>
      <c r="IJ55" s="49"/>
      <c r="IK55" s="49"/>
      <c r="IL55" s="49"/>
      <c r="IM55" s="49"/>
      <c r="IN55" s="49"/>
      <c r="IO55" s="49"/>
      <c r="IP55" s="49"/>
      <c r="IQ55" s="49"/>
      <c r="IR55" s="49"/>
      <c r="IS55" s="49"/>
      <c r="IT55" s="49"/>
      <c r="IU55" s="49"/>
    </row>
    <row r="56" spans="1:255" ht="12.75">
      <c r="A56" s="50"/>
      <c r="B56" s="455"/>
      <c r="C56" s="455"/>
      <c r="D56" s="455"/>
      <c r="E56" s="455"/>
      <c r="F56" s="456"/>
      <c r="G56" s="405"/>
      <c r="H56" s="345"/>
      <c r="I56" s="345"/>
      <c r="V56" s="48"/>
      <c r="IK56" s="49"/>
      <c r="IL56" s="49"/>
      <c r="IM56" s="49"/>
      <c r="IN56" s="49"/>
      <c r="IO56" s="49"/>
      <c r="IP56" s="49"/>
      <c r="IQ56" s="49"/>
      <c r="IR56" s="49"/>
      <c r="IS56" s="49"/>
      <c r="IT56" s="49"/>
      <c r="IU56" s="49"/>
    </row>
    <row r="57" spans="1:255" ht="12.75">
      <c r="A57" s="50"/>
      <c r="B57" s="455"/>
      <c r="C57" s="455"/>
      <c r="D57" s="455"/>
      <c r="E57" s="455"/>
      <c r="F57" s="456"/>
      <c r="G57" s="405"/>
      <c r="H57" s="345"/>
      <c r="I57" s="345"/>
      <c r="N57" s="48"/>
      <c r="V57" s="48"/>
      <c r="IK57" s="49"/>
      <c r="IL57" s="49"/>
      <c r="IM57" s="49"/>
      <c r="IN57" s="49"/>
      <c r="IO57" s="49"/>
      <c r="IP57" s="49"/>
      <c r="IQ57" s="49"/>
      <c r="IR57" s="49"/>
      <c r="IS57" s="49"/>
      <c r="IT57" s="49"/>
      <c r="IU57" s="49"/>
    </row>
    <row r="58" spans="1:255" ht="12.75">
      <c r="A58" s="50"/>
      <c r="B58" s="455"/>
      <c r="C58" s="455"/>
      <c r="D58" s="455"/>
      <c r="E58" s="455"/>
      <c r="F58" s="456"/>
      <c r="G58" s="405"/>
      <c r="H58" s="345"/>
      <c r="I58" s="345"/>
      <c r="N58" s="48"/>
      <c r="V58" s="48"/>
      <c r="IK58" s="49"/>
      <c r="IL58" s="49"/>
      <c r="IM58" s="49"/>
      <c r="IN58" s="49"/>
      <c r="IO58" s="49"/>
      <c r="IP58" s="49"/>
      <c r="IQ58" s="49"/>
      <c r="IR58" s="49"/>
      <c r="IS58" s="49"/>
      <c r="IT58" s="49"/>
      <c r="IU58" s="49"/>
    </row>
    <row r="59" spans="1:255" ht="12.75">
      <c r="A59" s="50"/>
      <c r="B59" s="455"/>
      <c r="C59" s="455"/>
      <c r="D59" s="455"/>
      <c r="E59" s="455"/>
      <c r="F59" s="456"/>
      <c r="G59" s="405"/>
      <c r="H59" s="345"/>
      <c r="I59" s="345"/>
      <c r="N59" s="48"/>
      <c r="O59" s="48"/>
      <c r="P59" s="48"/>
      <c r="Q59" s="48"/>
      <c r="R59" s="48"/>
      <c r="S59" s="48"/>
      <c r="T59" s="48"/>
      <c r="U59" s="48"/>
      <c r="V59" s="48"/>
      <c r="IK59" s="49"/>
      <c r="IL59" s="49"/>
      <c r="IM59" s="49"/>
      <c r="IN59" s="49"/>
      <c r="IO59" s="49"/>
      <c r="IP59" s="49"/>
      <c r="IQ59" s="49"/>
      <c r="IR59" s="49"/>
      <c r="IS59" s="49"/>
      <c r="IT59" s="49"/>
      <c r="IU59" s="49"/>
    </row>
    <row r="60" spans="1:255" ht="12.75">
      <c r="A60" s="50"/>
      <c r="B60" s="455"/>
      <c r="C60" s="455"/>
      <c r="D60" s="455"/>
      <c r="E60" s="455"/>
      <c r="F60" s="456"/>
      <c r="G60" s="405"/>
      <c r="H60" s="345"/>
      <c r="I60" s="345"/>
      <c r="N60" s="48"/>
      <c r="O60" s="48"/>
      <c r="P60" s="48"/>
      <c r="Q60" s="48"/>
      <c r="R60" s="48"/>
      <c r="S60" s="48"/>
      <c r="T60" s="48"/>
      <c r="U60" s="48"/>
      <c r="V60" s="48"/>
      <c r="IK60" s="49"/>
      <c r="IL60" s="49"/>
      <c r="IM60" s="49"/>
      <c r="IN60" s="49"/>
      <c r="IO60" s="49"/>
      <c r="IP60" s="49"/>
      <c r="IQ60" s="49"/>
      <c r="IR60" s="49"/>
      <c r="IS60" s="49"/>
      <c r="IT60" s="49"/>
      <c r="IU60" s="49"/>
    </row>
    <row r="61" spans="1:255" ht="12.75">
      <c r="A61" s="50"/>
      <c r="B61" s="455"/>
      <c r="C61" s="455"/>
      <c r="D61" s="455"/>
      <c r="E61" s="455"/>
      <c r="F61" s="456"/>
      <c r="G61" s="405"/>
      <c r="H61" s="345"/>
      <c r="I61" s="345"/>
      <c r="N61" s="48"/>
      <c r="O61" s="48"/>
      <c r="P61" s="48"/>
      <c r="Q61" s="48"/>
      <c r="R61" s="48"/>
      <c r="S61" s="48"/>
      <c r="T61" s="48"/>
      <c r="U61" s="48"/>
      <c r="V61" s="48"/>
      <c r="IK61" s="49"/>
      <c r="IL61" s="49"/>
      <c r="IM61" s="49"/>
      <c r="IN61" s="49"/>
      <c r="IO61" s="49"/>
      <c r="IP61" s="49"/>
      <c r="IQ61" s="49"/>
      <c r="IR61" s="49"/>
      <c r="IS61" s="49"/>
      <c r="IT61" s="49"/>
      <c r="IU61" s="49"/>
    </row>
    <row r="62" spans="1:255" ht="13.5" thickBot="1">
      <c r="A62" s="406"/>
      <c r="B62" s="407"/>
      <c r="C62" s="407"/>
      <c r="D62" s="407"/>
      <c r="E62" s="407"/>
      <c r="F62" s="407"/>
      <c r="G62" s="408"/>
      <c r="H62" s="372"/>
      <c r="I62" s="345"/>
      <c r="N62" s="48"/>
      <c r="O62" s="48"/>
      <c r="P62" s="48"/>
      <c r="Q62" s="48"/>
      <c r="R62" s="48"/>
      <c r="S62" s="48"/>
      <c r="T62" s="48"/>
      <c r="U62" s="48"/>
      <c r="V62" s="48"/>
      <c r="IK62" s="49"/>
      <c r="IL62" s="49"/>
      <c r="IM62" s="49"/>
      <c r="IN62" s="49"/>
      <c r="IO62" s="49"/>
      <c r="IP62" s="49"/>
      <c r="IQ62" s="49"/>
      <c r="IR62" s="49"/>
      <c r="IS62" s="49"/>
      <c r="IT62" s="49"/>
      <c r="IU62" s="49"/>
    </row>
    <row r="63" spans="1:255" ht="15.75">
      <c r="A63" s="409" t="s">
        <v>654</v>
      </c>
      <c r="B63" s="410"/>
      <c r="C63" s="410"/>
      <c r="D63" s="410"/>
      <c r="E63" s="411"/>
      <c r="F63" s="412"/>
      <c r="G63" s="372"/>
      <c r="H63" s="372"/>
      <c r="I63" s="345"/>
      <c r="N63" s="48"/>
      <c r="O63" s="48"/>
      <c r="P63" s="48"/>
      <c r="Q63" s="48"/>
      <c r="R63" s="48"/>
      <c r="S63" s="48"/>
      <c r="T63" s="48"/>
      <c r="U63" s="48"/>
      <c r="V63" s="48"/>
      <c r="IK63" s="49"/>
      <c r="IL63" s="49"/>
      <c r="IM63" s="49"/>
      <c r="IN63" s="49"/>
      <c r="IO63" s="49"/>
      <c r="IP63" s="49"/>
      <c r="IQ63" s="49"/>
      <c r="IR63" s="49"/>
      <c r="IS63" s="49"/>
      <c r="IT63" s="49"/>
      <c r="IU63" s="49"/>
    </row>
    <row r="64" spans="1:255" ht="12.75">
      <c r="A64" s="413" t="s">
        <v>678</v>
      </c>
      <c r="B64" s="414">
        <v>1</v>
      </c>
      <c r="C64" s="981"/>
      <c r="D64" s="982">
        <v>5</v>
      </c>
      <c r="E64" s="26"/>
      <c r="F64" s="412"/>
      <c r="G64" s="345"/>
      <c r="H64" s="372"/>
      <c r="I64" s="345"/>
      <c r="N64" s="48"/>
      <c r="O64" s="48"/>
      <c r="P64" s="48"/>
      <c r="Q64" s="48"/>
      <c r="R64" s="48"/>
      <c r="S64" s="48"/>
      <c r="T64" s="48"/>
      <c r="U64" s="48"/>
      <c r="V64" s="48"/>
      <c r="IK64" s="49"/>
      <c r="IL64" s="49"/>
      <c r="IM64" s="49"/>
      <c r="IN64" s="49"/>
      <c r="IO64" s="49"/>
      <c r="IP64" s="49"/>
      <c r="IQ64" s="49"/>
      <c r="IR64" s="49"/>
      <c r="IS64" s="49"/>
      <c r="IT64" s="49"/>
      <c r="IU64" s="49"/>
    </row>
    <row r="65" spans="1:255" ht="12.75">
      <c r="A65" s="415"/>
      <c r="B65" s="414">
        <v>2</v>
      </c>
      <c r="C65" s="981"/>
      <c r="D65" s="983">
        <v>6</v>
      </c>
      <c r="E65" s="26"/>
      <c r="F65" s="412"/>
      <c r="G65" s="345"/>
      <c r="H65" s="372"/>
      <c r="I65" s="345"/>
      <c r="N65" s="48"/>
      <c r="O65" s="48"/>
      <c r="P65" s="48"/>
      <c r="Q65" s="48"/>
      <c r="R65" s="48"/>
      <c r="S65" s="48"/>
      <c r="T65" s="48"/>
      <c r="U65" s="48"/>
      <c r="V65" s="48"/>
      <c r="IK65" s="49"/>
      <c r="IL65" s="49"/>
      <c r="IM65" s="49"/>
      <c r="IN65" s="49"/>
      <c r="IO65" s="49"/>
      <c r="IP65" s="49"/>
      <c r="IQ65" s="49"/>
      <c r="IR65" s="49"/>
      <c r="IS65" s="49"/>
      <c r="IT65" s="49"/>
      <c r="IU65" s="49"/>
    </row>
    <row r="66" spans="1:255" ht="12.75">
      <c r="A66" s="415"/>
      <c r="B66" s="414">
        <v>3</v>
      </c>
      <c r="C66" s="981"/>
      <c r="D66" s="983">
        <v>7</v>
      </c>
      <c r="E66" s="26"/>
      <c r="F66" s="412"/>
      <c r="G66" s="345"/>
      <c r="H66" s="372"/>
      <c r="I66" s="345"/>
      <c r="N66" s="48"/>
      <c r="O66" s="48"/>
      <c r="P66" s="48"/>
      <c r="Q66" s="48"/>
      <c r="R66" s="48"/>
      <c r="S66" s="48"/>
      <c r="T66" s="48"/>
      <c r="U66" s="48"/>
      <c r="V66" s="48"/>
      <c r="IK66" s="49"/>
      <c r="IL66" s="49"/>
      <c r="IM66" s="49"/>
      <c r="IN66" s="49"/>
      <c r="IO66" s="49"/>
      <c r="IP66" s="49"/>
      <c r="IQ66" s="49"/>
      <c r="IR66" s="49"/>
      <c r="IS66" s="49"/>
      <c r="IT66" s="49"/>
      <c r="IU66" s="49"/>
    </row>
    <row r="67" spans="1:255" ht="12.75">
      <c r="A67" s="416"/>
      <c r="B67" s="414">
        <v>4</v>
      </c>
      <c r="C67" s="981"/>
      <c r="D67" s="984">
        <v>8</v>
      </c>
      <c r="E67" s="26"/>
      <c r="F67" s="412"/>
      <c r="G67" s="345"/>
      <c r="H67" s="372"/>
      <c r="I67" s="345"/>
      <c r="N67" s="48"/>
      <c r="O67" s="48"/>
      <c r="P67" s="48"/>
      <c r="Q67" s="48"/>
      <c r="R67" s="48"/>
      <c r="S67" s="48"/>
      <c r="T67" s="48"/>
      <c r="U67" s="48"/>
      <c r="V67" s="48"/>
      <c r="IK67" s="49"/>
      <c r="IL67" s="49"/>
      <c r="IM67" s="49"/>
      <c r="IN67" s="49"/>
      <c r="IO67" s="49"/>
      <c r="IP67" s="49"/>
      <c r="IQ67" s="49"/>
      <c r="IR67" s="49"/>
      <c r="IS67" s="49"/>
      <c r="IT67" s="49"/>
      <c r="IU67" s="49"/>
    </row>
    <row r="68" spans="1:255" ht="12.75">
      <c r="A68" s="413" t="s">
        <v>1253</v>
      </c>
      <c r="B68" s="781"/>
      <c r="C68" s="411"/>
      <c r="D68" s="411"/>
      <c r="E68" s="411"/>
      <c r="F68" s="412"/>
      <c r="G68" s="345"/>
      <c r="H68" s="372"/>
      <c r="I68" s="345"/>
      <c r="N68" s="48"/>
      <c r="O68" s="48"/>
      <c r="P68" s="48"/>
      <c r="Q68" s="48"/>
      <c r="R68" s="48"/>
      <c r="S68" s="48"/>
      <c r="T68" s="48"/>
      <c r="U68" s="48"/>
      <c r="V68" s="48"/>
      <c r="IK68" s="49"/>
      <c r="IL68" s="49"/>
      <c r="IM68" s="49"/>
      <c r="IN68" s="49"/>
      <c r="IO68" s="49"/>
      <c r="IP68" s="49"/>
      <c r="IQ68" s="49"/>
      <c r="IR68" s="49"/>
      <c r="IS68" s="49"/>
      <c r="IT68" s="49"/>
      <c r="IU68" s="49"/>
    </row>
    <row r="69" spans="1:22" ht="12.75">
      <c r="A69" s="417"/>
      <c r="B69" s="418"/>
      <c r="C69" s="410"/>
      <c r="D69" s="410"/>
      <c r="E69" s="411"/>
      <c r="F69" s="412"/>
      <c r="G69" s="345"/>
      <c r="H69" s="345"/>
      <c r="I69" s="345"/>
      <c r="O69" s="48"/>
      <c r="P69" s="48"/>
      <c r="Q69" s="48"/>
      <c r="R69" s="48"/>
      <c r="S69" s="48"/>
      <c r="T69" s="48"/>
      <c r="U69" s="48"/>
      <c r="V69" s="48"/>
    </row>
    <row r="70" spans="1:22" ht="12.75">
      <c r="A70" s="971" t="s">
        <v>1246</v>
      </c>
      <c r="B70" s="419"/>
      <c r="C70" s="420"/>
      <c r="D70" s="411"/>
      <c r="E70" s="411"/>
      <c r="F70" s="412"/>
      <c r="G70" s="345"/>
      <c r="H70" s="345"/>
      <c r="I70" s="345"/>
      <c r="O70" s="48"/>
      <c r="P70" s="48"/>
      <c r="Q70" s="48"/>
      <c r="R70" s="48"/>
      <c r="S70" s="48"/>
      <c r="T70" s="48"/>
      <c r="U70" s="48"/>
      <c r="V70" s="48"/>
    </row>
    <row r="71" spans="1:22" ht="12.75">
      <c r="A71" s="421" t="s">
        <v>1247</v>
      </c>
      <c r="B71" s="422" t="s">
        <v>659</v>
      </c>
      <c r="C71" s="423" t="s">
        <v>969</v>
      </c>
      <c r="D71" s="410"/>
      <c r="E71" s="411"/>
      <c r="F71" s="412"/>
      <c r="G71" s="345"/>
      <c r="H71" s="345"/>
      <c r="I71" s="345"/>
      <c r="O71" s="48"/>
      <c r="P71" s="48"/>
      <c r="Q71" s="48"/>
      <c r="R71" s="48"/>
      <c r="S71" s="48"/>
      <c r="T71" s="48"/>
      <c r="U71" s="48"/>
      <c r="V71" s="48"/>
    </row>
    <row r="72" spans="1:22" ht="12.75">
      <c r="A72" s="421" t="s">
        <v>1248</v>
      </c>
      <c r="B72" s="424" t="s">
        <v>560</v>
      </c>
      <c r="C72" s="425">
        <f>+$E$6</f>
      </c>
      <c r="D72" s="410"/>
      <c r="E72" s="411"/>
      <c r="F72" s="412"/>
      <c r="G72" s="345"/>
      <c r="H72" s="345"/>
      <c r="I72" s="345"/>
      <c r="O72" s="48"/>
      <c r="P72" s="48"/>
      <c r="Q72" s="48"/>
      <c r="R72" s="48"/>
      <c r="S72" s="48"/>
      <c r="T72" s="48"/>
      <c r="U72" s="48"/>
      <c r="V72" s="48"/>
    </row>
    <row r="73" spans="1:22" ht="12.75">
      <c r="A73" s="45"/>
      <c r="B73" s="25"/>
      <c r="C73" s="25"/>
      <c r="D73" s="410"/>
      <c r="E73" s="411"/>
      <c r="F73" s="412"/>
      <c r="G73" s="345"/>
      <c r="H73" s="345"/>
      <c r="I73" s="345"/>
      <c r="O73" s="48"/>
      <c r="P73" s="48"/>
      <c r="Q73" s="48"/>
      <c r="R73" s="48"/>
      <c r="S73" s="48"/>
      <c r="T73" s="48"/>
      <c r="U73" s="48"/>
      <c r="V73" s="48"/>
    </row>
    <row r="74" spans="1:22" ht="12.75">
      <c r="A74" s="45"/>
      <c r="B74" s="25"/>
      <c r="C74" s="25"/>
      <c r="D74" s="410"/>
      <c r="E74" s="411"/>
      <c r="F74" s="426"/>
      <c r="G74" s="345"/>
      <c r="H74" s="345"/>
      <c r="I74" s="345"/>
      <c r="O74" s="48"/>
      <c r="P74" s="48"/>
      <c r="Q74" s="48"/>
      <c r="R74" s="48"/>
      <c r="S74" s="48"/>
      <c r="T74" s="48"/>
      <c r="U74" s="48"/>
      <c r="V74" s="48"/>
    </row>
    <row r="75" spans="1:22" ht="12.75">
      <c r="A75" s="45"/>
      <c r="B75" s="25"/>
      <c r="C75" s="25"/>
      <c r="D75" s="410"/>
      <c r="E75" s="411"/>
      <c r="F75" s="426"/>
      <c r="G75" s="345"/>
      <c r="H75" s="345"/>
      <c r="I75" s="345"/>
      <c r="O75" s="48"/>
      <c r="P75" s="48"/>
      <c r="Q75" s="48"/>
      <c r="R75" s="48"/>
      <c r="S75" s="48"/>
      <c r="T75" s="48"/>
      <c r="U75" s="48"/>
      <c r="V75" s="48"/>
    </row>
    <row r="76" spans="1:22" ht="12.75">
      <c r="A76" s="45"/>
      <c r="B76" s="25"/>
      <c r="C76" s="25"/>
      <c r="D76" s="410"/>
      <c r="E76" s="411"/>
      <c r="F76" s="426"/>
      <c r="G76" s="345"/>
      <c r="H76" s="345"/>
      <c r="I76" s="345"/>
      <c r="O76" s="48"/>
      <c r="P76" s="48"/>
      <c r="Q76" s="48"/>
      <c r="R76" s="48"/>
      <c r="S76" s="48"/>
      <c r="T76" s="48"/>
      <c r="U76" s="48"/>
      <c r="V76" s="48"/>
    </row>
    <row r="77" spans="1:22" ht="12.75">
      <c r="A77" s="45"/>
      <c r="B77" s="25"/>
      <c r="C77" s="25"/>
      <c r="D77" s="410"/>
      <c r="E77" s="411"/>
      <c r="F77" s="426"/>
      <c r="G77" s="345"/>
      <c r="H77" s="345"/>
      <c r="I77" s="345"/>
      <c r="O77" s="48"/>
      <c r="P77" s="48"/>
      <c r="Q77" s="48"/>
      <c r="R77" s="48"/>
      <c r="S77" s="48"/>
      <c r="T77" s="48"/>
      <c r="U77" s="48"/>
      <c r="V77" s="48"/>
    </row>
    <row r="78" spans="1:22" ht="12.75">
      <c r="A78" s="45"/>
      <c r="B78" s="25"/>
      <c r="C78" s="25"/>
      <c r="D78" s="410"/>
      <c r="E78" s="411"/>
      <c r="F78" s="426"/>
      <c r="G78" s="345"/>
      <c r="H78" s="345"/>
      <c r="I78" s="345"/>
      <c r="O78" s="48"/>
      <c r="P78" s="48"/>
      <c r="Q78" s="48"/>
      <c r="R78" s="48"/>
      <c r="S78" s="48"/>
      <c r="T78" s="48"/>
      <c r="U78" s="48"/>
      <c r="V78" s="48"/>
    </row>
    <row r="79" spans="1:22" ht="12.75">
      <c r="A79" s="45"/>
      <c r="B79" s="25"/>
      <c r="C79" s="25"/>
      <c r="D79" s="410"/>
      <c r="E79" s="411"/>
      <c r="F79" s="426"/>
      <c r="G79" s="345"/>
      <c r="H79" s="345"/>
      <c r="I79" s="345"/>
      <c r="O79" s="48"/>
      <c r="P79" s="48"/>
      <c r="Q79" s="48"/>
      <c r="R79" s="48"/>
      <c r="S79" s="48"/>
      <c r="T79" s="48"/>
      <c r="U79" s="48"/>
      <c r="V79" s="48"/>
    </row>
    <row r="80" spans="1:22" ht="12.75">
      <c r="A80" s="45"/>
      <c r="B80" s="25"/>
      <c r="C80" s="25"/>
      <c r="D80" s="410"/>
      <c r="E80" s="411"/>
      <c r="F80" s="426"/>
      <c r="G80" s="345"/>
      <c r="H80" s="345"/>
      <c r="I80" s="345"/>
      <c r="O80" s="48"/>
      <c r="P80" s="48"/>
      <c r="Q80" s="48"/>
      <c r="R80" s="48"/>
      <c r="S80" s="48"/>
      <c r="T80" s="48"/>
      <c r="U80" s="48"/>
      <c r="V80" s="48"/>
    </row>
    <row r="81" spans="1:22" ht="12.75">
      <c r="A81" s="427" t="s">
        <v>970</v>
      </c>
      <c r="B81" s="43">
        <f>IF(B73="","",SUM(B73:B80))</f>
      </c>
      <c r="C81" s="43">
        <f>IF(C73="","",SUM(C73:C80))</f>
      </c>
      <c r="D81" s="411"/>
      <c r="E81" s="411"/>
      <c r="F81" s="426"/>
      <c r="G81" s="345"/>
      <c r="H81" s="345"/>
      <c r="I81" s="345"/>
      <c r="O81" s="48"/>
      <c r="P81" s="48"/>
      <c r="Q81" s="48"/>
      <c r="R81" s="48"/>
      <c r="S81" s="48"/>
      <c r="T81" s="48"/>
      <c r="U81" s="48"/>
      <c r="V81" s="48"/>
    </row>
    <row r="82" spans="1:22" ht="12.75">
      <c r="A82" s="428" t="s">
        <v>661</v>
      </c>
      <c r="B82" s="51"/>
      <c r="C82" s="457"/>
      <c r="D82" s="410"/>
      <c r="E82" s="411"/>
      <c r="F82" s="426"/>
      <c r="G82" s="345"/>
      <c r="H82" s="345"/>
      <c r="I82" s="345"/>
      <c r="O82" s="48"/>
      <c r="P82" s="48"/>
      <c r="Q82" s="48"/>
      <c r="R82" s="48"/>
      <c r="S82" s="48"/>
      <c r="T82" s="48"/>
      <c r="U82" s="48"/>
      <c r="V82" s="48"/>
    </row>
    <row r="83" spans="1:22" ht="13.5" thickBot="1">
      <c r="A83" s="428" t="s">
        <v>662</v>
      </c>
      <c r="B83" s="28"/>
      <c r="C83" s="456"/>
      <c r="D83" s="429"/>
      <c r="E83" s="430"/>
      <c r="F83" s="431"/>
      <c r="G83" s="345"/>
      <c r="H83" s="345"/>
      <c r="I83" s="345"/>
      <c r="O83" s="48"/>
      <c r="P83" s="48"/>
      <c r="Q83" s="48"/>
      <c r="R83" s="48"/>
      <c r="S83" s="48"/>
      <c r="T83" s="48"/>
      <c r="U83" s="48"/>
      <c r="V83" s="48"/>
    </row>
    <row r="84" spans="1:22" ht="15.75">
      <c r="A84" s="432" t="s">
        <v>679</v>
      </c>
      <c r="B84" s="433" t="s">
        <v>973</v>
      </c>
      <c r="C84" s="433" t="s">
        <v>674</v>
      </c>
      <c r="D84" s="434"/>
      <c r="E84" s="345"/>
      <c r="F84" s="372"/>
      <c r="G84" s="345"/>
      <c r="H84" s="345"/>
      <c r="I84" s="345"/>
      <c r="O84" s="48"/>
      <c r="P84" s="48"/>
      <c r="Q84" s="48"/>
      <c r="R84" s="48"/>
      <c r="S84" s="48"/>
      <c r="T84" s="48"/>
      <c r="U84" s="48"/>
      <c r="V84" s="48"/>
    </row>
    <row r="85" spans="1:22" ht="12.75">
      <c r="A85" s="435" t="s">
        <v>691</v>
      </c>
      <c r="B85" s="27"/>
      <c r="C85" s="436"/>
      <c r="D85" s="437"/>
      <c r="E85" s="345"/>
      <c r="F85" s="372"/>
      <c r="G85" s="345"/>
      <c r="H85" s="345"/>
      <c r="I85" s="345"/>
      <c r="O85" s="48"/>
      <c r="P85" s="48"/>
      <c r="Q85" s="48"/>
      <c r="R85" s="48"/>
      <c r="S85" s="48"/>
      <c r="T85" s="48"/>
      <c r="U85" s="48"/>
      <c r="V85" s="48"/>
    </row>
    <row r="86" spans="1:22" ht="12.75">
      <c r="A86" s="438" t="s">
        <v>692</v>
      </c>
      <c r="B86" s="27"/>
      <c r="C86" s="439">
        <f>IF(B85="","",B86-B85)</f>
      </c>
      <c r="D86" s="437"/>
      <c r="E86" s="345"/>
      <c r="F86" s="372"/>
      <c r="G86" s="372"/>
      <c r="H86" s="345"/>
      <c r="I86" s="345"/>
      <c r="O86" s="48"/>
      <c r="P86" s="48"/>
      <c r="Q86" s="48"/>
      <c r="R86" s="48"/>
      <c r="S86" s="48"/>
      <c r="T86" s="48"/>
      <c r="U86" s="48"/>
      <c r="V86" s="48"/>
    </row>
    <row r="87" spans="1:22" ht="12.75">
      <c r="A87" s="438" t="s">
        <v>693</v>
      </c>
      <c r="B87" s="27"/>
      <c r="C87" s="440">
        <f>IF(B85="","",B87-B86)</f>
      </c>
      <c r="D87" s="437"/>
      <c r="E87" s="345"/>
      <c r="F87" s="372"/>
      <c r="G87" s="372"/>
      <c r="H87" s="345"/>
      <c r="I87" s="345"/>
      <c r="O87" s="48"/>
      <c r="P87" s="48"/>
      <c r="Q87" s="48"/>
      <c r="R87" s="48"/>
      <c r="S87" s="48"/>
      <c r="T87" s="48"/>
      <c r="U87" s="48"/>
      <c r="V87" s="48"/>
    </row>
    <row r="88" spans="1:22" ht="12.75">
      <c r="A88" s="438" t="s">
        <v>694</v>
      </c>
      <c r="B88" s="27"/>
      <c r="C88" s="440">
        <f>IF(B85="","",B87-B88)</f>
      </c>
      <c r="D88" s="437"/>
      <c r="E88" s="345"/>
      <c r="F88" s="372"/>
      <c r="G88" s="372"/>
      <c r="H88" s="345"/>
      <c r="I88" s="345"/>
      <c r="O88" s="48"/>
      <c r="P88" s="48"/>
      <c r="Q88" s="48"/>
      <c r="R88" s="48"/>
      <c r="S88" s="48"/>
      <c r="T88" s="48"/>
      <c r="U88" s="48"/>
      <c r="V88" s="48"/>
    </row>
    <row r="89" spans="1:22" ht="12.75">
      <c r="A89" s="441" t="s">
        <v>695</v>
      </c>
      <c r="B89" s="27"/>
      <c r="C89" s="440"/>
      <c r="D89" s="437"/>
      <c r="E89" s="345"/>
      <c r="F89" s="372"/>
      <c r="G89" s="372"/>
      <c r="H89" s="345"/>
      <c r="I89" s="345"/>
      <c r="O89" s="48"/>
      <c r="P89" s="48"/>
      <c r="Q89" s="48"/>
      <c r="R89" s="48"/>
      <c r="S89" s="48"/>
      <c r="T89" s="48"/>
      <c r="U89" s="48"/>
      <c r="V89" s="48"/>
    </row>
    <row r="90" spans="1:22" ht="12.75">
      <c r="A90" s="442" t="s">
        <v>696</v>
      </c>
      <c r="B90" s="27"/>
      <c r="C90" s="443">
        <f>IF(B85="","",B87-B90)</f>
      </c>
      <c r="D90" s="437"/>
      <c r="E90" s="345"/>
      <c r="F90" s="372"/>
      <c r="G90" s="372"/>
      <c r="H90" s="345"/>
      <c r="I90" s="345"/>
      <c r="O90" s="48"/>
      <c r="P90" s="48"/>
      <c r="Q90" s="48"/>
      <c r="R90" s="48"/>
      <c r="S90" s="48"/>
      <c r="T90" s="48"/>
      <c r="U90" s="48"/>
      <c r="V90" s="48"/>
    </row>
    <row r="91" spans="1:22" ht="13.5" thickBot="1">
      <c r="A91" s="444"/>
      <c r="B91" s="445" t="s">
        <v>974</v>
      </c>
      <c r="C91" s="446"/>
      <c r="D91" s="447"/>
      <c r="E91" s="345"/>
      <c r="F91" s="372"/>
      <c r="G91" s="372"/>
      <c r="H91" s="345"/>
      <c r="I91" s="345"/>
      <c r="O91" s="48"/>
      <c r="P91" s="48"/>
      <c r="Q91" s="48"/>
      <c r="R91" s="48"/>
      <c r="S91" s="48"/>
      <c r="T91" s="48"/>
      <c r="U91" s="48"/>
      <c r="V91" s="48"/>
    </row>
    <row r="92" spans="1:22" ht="12.75">
      <c r="A92" s="345"/>
      <c r="B92" s="345"/>
      <c r="C92" s="345"/>
      <c r="D92" s="345"/>
      <c r="E92" s="345"/>
      <c r="F92" s="345"/>
      <c r="G92" s="372"/>
      <c r="H92" s="345"/>
      <c r="I92" s="345"/>
      <c r="O92" s="48"/>
      <c r="P92" s="48"/>
      <c r="Q92" s="48"/>
      <c r="R92" s="48"/>
      <c r="S92" s="48"/>
      <c r="T92" s="48"/>
      <c r="U92" s="48"/>
      <c r="V92" s="48"/>
    </row>
    <row r="93" spans="1:22" ht="12.75">
      <c r="A93" s="345"/>
      <c r="B93" s="345"/>
      <c r="C93" s="345"/>
      <c r="D93" s="345"/>
      <c r="E93" s="345"/>
      <c r="F93" s="345"/>
      <c r="G93" s="372"/>
      <c r="H93" s="345"/>
      <c r="I93" s="345"/>
      <c r="O93" s="48"/>
      <c r="P93" s="48"/>
      <c r="Q93" s="48"/>
      <c r="R93" s="48"/>
      <c r="S93" s="48"/>
      <c r="T93" s="48"/>
      <c r="U93" s="48"/>
      <c r="V93" s="48"/>
    </row>
    <row r="94" spans="15:18" ht="12.75">
      <c r="O94" s="48"/>
      <c r="P94" s="48"/>
      <c r="Q94" s="48"/>
      <c r="R94" s="48"/>
    </row>
    <row r="95" spans="15:18" ht="12.75">
      <c r="O95" s="48"/>
      <c r="P95" s="48"/>
      <c r="Q95" s="48"/>
      <c r="R95" s="48"/>
    </row>
    <row r="96" spans="15:18" ht="12.75">
      <c r="O96" s="48"/>
      <c r="P96" s="48"/>
      <c r="Q96" s="48"/>
      <c r="R96" s="48"/>
    </row>
    <row r="97" spans="15:18" ht="12.75">
      <c r="O97" s="48"/>
      <c r="P97" s="48"/>
      <c r="Q97" s="48"/>
      <c r="R97" s="48"/>
    </row>
  </sheetData>
  <sheetProtection sheet="1"/>
  <mergeCells count="1">
    <mergeCell ref="A1:E1"/>
  </mergeCells>
  <dataValidations count="1">
    <dataValidation type="list" allowBlank="1" showErrorMessage="1" sqref="B6">
      <formula1>$N$4:$N$5</formula1>
    </dataValidation>
  </dataValidations>
  <printOptions/>
  <pageMargins left="0.75" right="0.75" top="1" bottom="1" header="0.5" footer="0.5"/>
  <pageSetup horizontalDpi="600" verticalDpi="600" orientation="portrait" scale="80" r:id="rId2"/>
  <rowBreaks count="1" manualBreakCount="1">
    <brk id="6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IQ118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4.00390625" style="0" customWidth="1"/>
    <col min="2" max="2" width="20.57421875" style="0" bestFit="1" customWidth="1"/>
    <col min="3" max="3" width="10.7109375" style="0" customWidth="1"/>
    <col min="4" max="4" width="13.8515625" style="0" customWidth="1"/>
    <col min="5" max="5" width="18.7109375" style="0" customWidth="1"/>
    <col min="6" max="6" width="15.00390625" style="0" customWidth="1"/>
    <col min="7" max="7" width="12.00390625" style="0" customWidth="1"/>
    <col min="8" max="8" width="15.8515625" style="0" customWidth="1"/>
    <col min="9" max="9" width="12.8515625" style="0" customWidth="1"/>
    <col min="10" max="10" width="10.7109375" style="0" customWidth="1"/>
  </cols>
  <sheetData>
    <row r="1" spans="1:11" ht="12.75">
      <c r="A1" s="1020" t="s">
        <v>835</v>
      </c>
      <c r="B1" s="1026"/>
      <c r="C1" s="1026"/>
      <c r="D1" s="458"/>
      <c r="E1" s="458"/>
      <c r="F1" s="458"/>
      <c r="G1" s="458"/>
      <c r="H1" s="458"/>
      <c r="I1" s="458"/>
      <c r="J1" s="458"/>
      <c r="K1" s="458"/>
    </row>
    <row r="2" spans="1:11" ht="12.75">
      <c r="A2" s="458"/>
      <c r="B2" s="458"/>
      <c r="C2" s="458"/>
      <c r="D2" s="458"/>
      <c r="E2" s="458"/>
      <c r="F2" s="458"/>
      <c r="G2" s="458"/>
      <c r="H2" s="458"/>
      <c r="I2" s="458"/>
      <c r="J2" s="458"/>
      <c r="K2" s="458"/>
    </row>
    <row r="3" spans="1:251" ht="12.75">
      <c r="A3" s="459" t="s">
        <v>830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IQ3" t="s">
        <v>992</v>
      </c>
    </row>
    <row r="4" spans="1:251" ht="4.5" customHeight="1">
      <c r="A4" s="460"/>
      <c r="B4" s="460"/>
      <c r="C4" s="460"/>
      <c r="D4" s="460"/>
      <c r="E4" s="460"/>
      <c r="F4" s="460"/>
      <c r="G4" s="460"/>
      <c r="H4" s="460"/>
      <c r="I4" s="460"/>
      <c r="J4" s="460"/>
      <c r="K4" s="460"/>
      <c r="IQ4" s="13">
        <f>IF(Data!D71="","",Data!D71)</f>
        <v>0</v>
      </c>
    </row>
    <row r="5" spans="1:251" ht="15.75">
      <c r="A5" s="1027" t="s">
        <v>84</v>
      </c>
      <c r="B5" s="1028"/>
      <c r="C5" s="1028"/>
      <c r="D5" s="1028"/>
      <c r="E5" s="1028"/>
      <c r="F5" s="1028"/>
      <c r="G5" s="1028"/>
      <c r="H5" s="1028"/>
      <c r="I5" s="1028"/>
      <c r="J5" s="1028"/>
      <c r="K5" s="1028"/>
      <c r="O5" s="4"/>
      <c r="IQ5" s="13">
        <f>IF(Data!D72="","",Data!D72)</f>
        <v>0</v>
      </c>
    </row>
    <row r="6" spans="1:251" ht="12.75">
      <c r="A6" s="1029" t="s">
        <v>100</v>
      </c>
      <c r="B6" s="1028"/>
      <c r="C6" s="1028"/>
      <c r="D6" s="1028"/>
      <c r="E6" s="1028"/>
      <c r="F6" s="1028"/>
      <c r="G6" s="1028"/>
      <c r="H6" s="1028"/>
      <c r="I6" s="1028"/>
      <c r="J6" s="1028"/>
      <c r="K6" s="1028"/>
      <c r="O6" s="4"/>
      <c r="IQ6" s="13"/>
    </row>
    <row r="7" spans="1:251" ht="12.75">
      <c r="A7" s="1029" t="s">
        <v>101</v>
      </c>
      <c r="B7" s="1028"/>
      <c r="C7" s="1028"/>
      <c r="D7" s="1028"/>
      <c r="E7" s="1028"/>
      <c r="F7" s="1028"/>
      <c r="G7" s="1028"/>
      <c r="H7" s="1028"/>
      <c r="I7" s="1028"/>
      <c r="J7" s="1028"/>
      <c r="K7" s="1028"/>
      <c r="O7" s="4"/>
      <c r="IQ7" s="13"/>
    </row>
    <row r="8" spans="1:251" ht="12.75">
      <c r="A8" s="1021" t="s">
        <v>1254</v>
      </c>
      <c r="B8" s="1022"/>
      <c r="C8" s="1022"/>
      <c r="D8" s="1022"/>
      <c r="E8" s="1022"/>
      <c r="F8" s="1022"/>
      <c r="G8" s="1022"/>
      <c r="H8" s="1022"/>
      <c r="I8" s="1022"/>
      <c r="J8" s="1022"/>
      <c r="K8" s="1022"/>
      <c r="O8" s="4"/>
      <c r="IQ8" s="13"/>
    </row>
    <row r="9" spans="1:251" ht="12.75">
      <c r="A9" s="461" t="s">
        <v>954</v>
      </c>
      <c r="B9" s="462">
        <f>IF(Input!$B$7="","",Input!$B$7)</f>
      </c>
      <c r="C9" s="463"/>
      <c r="D9" s="1023" t="s">
        <v>106</v>
      </c>
      <c r="E9" s="465">
        <v>1</v>
      </c>
      <c r="F9" s="466">
        <f>IF(Input!$C$64="","",Input!$C$64)</f>
      </c>
      <c r="G9" s="465">
        <v>5</v>
      </c>
      <c r="H9" s="466">
        <f>IF(Input!$E$64="","",Input!$E$64)</f>
      </c>
      <c r="I9" s="467" t="s">
        <v>559</v>
      </c>
      <c r="J9" s="571"/>
      <c r="K9" s="468"/>
      <c r="O9" s="4"/>
      <c r="IQ9" s="13">
        <f>IF(Data!D73="","",Data!D73)</f>
        <v>0</v>
      </c>
    </row>
    <row r="10" spans="1:251" ht="12.75">
      <c r="A10" s="461" t="s">
        <v>102</v>
      </c>
      <c r="B10" s="462">
        <f>IF(Input!$B$8="","",Input!$B$8)</f>
      </c>
      <c r="C10" s="463"/>
      <c r="D10" s="1024"/>
      <c r="E10" s="465">
        <v>2</v>
      </c>
      <c r="F10" s="466">
        <f>IF(Input!$C$65="","",Input!$C$65)</f>
      </c>
      <c r="G10" s="465">
        <v>6</v>
      </c>
      <c r="H10" s="466">
        <f>IF(Input!$E$65="","",Input!$E$65)</f>
      </c>
      <c r="I10" s="470" t="s">
        <v>50</v>
      </c>
      <c r="J10" s="471">
        <f ca="1">TODAY()</f>
        <v>42480</v>
      </c>
      <c r="K10" s="468"/>
      <c r="IQ10" s="13">
        <f>IF(Data!D74="","",Data!D74)</f>
        <v>0</v>
      </c>
    </row>
    <row r="11" spans="1:251" ht="12.75">
      <c r="A11" s="461" t="s">
        <v>983</v>
      </c>
      <c r="B11" s="462">
        <f>IF(Input!$B$10="","",Input!$B$10)</f>
      </c>
      <c r="C11" s="463"/>
      <c r="D11" s="1024"/>
      <c r="E11" s="465">
        <v>3</v>
      </c>
      <c r="F11" s="466">
        <f>IF(Input!$C$66="","",Input!$C$66)</f>
      </c>
      <c r="G11" s="465">
        <v>7</v>
      </c>
      <c r="H11" s="466">
        <f>IF(Input!$E$66="","",Input!$E$66)</f>
      </c>
      <c r="I11" s="461" t="s">
        <v>976</v>
      </c>
      <c r="J11" s="472">
        <f>IF(Input!$B$30="","",Input!$B$30)</f>
      </c>
      <c r="K11" s="473"/>
      <c r="IQ11" s="13">
        <f>IF(Data!D75="","",Data!D75)</f>
        <v>0</v>
      </c>
    </row>
    <row r="12" spans="1:251" ht="12.75">
      <c r="A12" s="461" t="s">
        <v>955</v>
      </c>
      <c r="B12" s="462">
        <f>IF(Input!$E$5="","",Input!$E$5)</f>
      </c>
      <c r="C12" s="463"/>
      <c r="D12" s="1025"/>
      <c r="E12" s="465">
        <v>4</v>
      </c>
      <c r="F12" s="466">
        <f>IF(Input!$C$67="","",Input!$C$67)</f>
      </c>
      <c r="G12" s="465">
        <v>8</v>
      </c>
      <c r="H12" s="466">
        <f>IF(Input!$E$67="","",Input!$E$67)</f>
      </c>
      <c r="I12" s="461" t="s">
        <v>977</v>
      </c>
      <c r="J12" s="472">
        <f>IF(Input!$B$31="","",Input!$B$31)</f>
      </c>
      <c r="K12" s="473"/>
      <c r="IQ12" s="13">
        <f>IF(Data!D76="","",Data!D76)</f>
        <v>0</v>
      </c>
    </row>
    <row r="13" spans="1:251" ht="12.75">
      <c r="A13" s="475" t="s">
        <v>49</v>
      </c>
      <c r="B13" s="462">
        <f>IF(Input!$E$6="","",Input!$E$6)</f>
      </c>
      <c r="C13" s="463"/>
      <c r="D13" s="461" t="s">
        <v>1253</v>
      </c>
      <c r="E13" s="476">
        <f>IF(Input!$B$68="","",Input!$B$68)</f>
      </c>
      <c r="F13" s="477"/>
      <c r="G13" s="477"/>
      <c r="H13" s="477"/>
      <c r="I13" s="461" t="s">
        <v>972</v>
      </c>
      <c r="J13" s="472">
        <f>IF(Input!$B$32="","",Input!$B$32)</f>
      </c>
      <c r="K13" s="473"/>
      <c r="IQ13" s="13">
        <f>IF(Data!D77="","",Data!D77)</f>
        <v>0</v>
      </c>
    </row>
    <row r="14" spans="1:251" ht="12.75">
      <c r="A14" s="475" t="s">
        <v>105</v>
      </c>
      <c r="B14" s="462">
        <f>IF(Input!$E$7="","",Input!$E$7)</f>
      </c>
      <c r="C14" s="463"/>
      <c r="D14" s="461" t="s">
        <v>968</v>
      </c>
      <c r="E14" s="476">
        <f>IF('Setup Bm Input'!$A$46="","",'Setup Bm Input'!$A$46)</f>
      </c>
      <c r="F14" s="477"/>
      <c r="G14" s="477"/>
      <c r="H14" s="477"/>
      <c r="I14" s="461" t="s">
        <v>978</v>
      </c>
      <c r="J14" s="472">
        <f>IF(Input!$B$33="","",Input!$B$33)</f>
      </c>
      <c r="K14" s="473"/>
      <c r="IQ14" s="13"/>
    </row>
    <row r="15" spans="1:251" ht="12.75">
      <c r="A15" s="475" t="s">
        <v>48</v>
      </c>
      <c r="B15" s="462">
        <f>IF(Input!$E$8="","",Input!$E$8)</f>
      </c>
      <c r="C15" s="463"/>
      <c r="D15" s="477"/>
      <c r="E15" s="477"/>
      <c r="F15" s="477"/>
      <c r="G15" s="477"/>
      <c r="H15" s="477"/>
      <c r="I15" s="461" t="s">
        <v>975</v>
      </c>
      <c r="J15" s="472">
        <f>IF(Input!$B$34="","",Input!$B$34)</f>
      </c>
      <c r="K15" s="473"/>
      <c r="O15" s="38" t="s">
        <v>997</v>
      </c>
      <c r="IQ15" s="13"/>
    </row>
    <row r="16" spans="1:251" ht="12.75">
      <c r="A16" s="461" t="s">
        <v>981</v>
      </c>
      <c r="B16" s="462">
        <f>IF(Input!$B$37="","",Input!$B$37)</f>
      </c>
      <c r="C16" s="463"/>
      <c r="D16" s="477"/>
      <c r="E16" s="477"/>
      <c r="F16" s="477"/>
      <c r="G16" s="477"/>
      <c r="H16" s="477"/>
      <c r="I16" s="461" t="s">
        <v>979</v>
      </c>
      <c r="J16" s="472">
        <f>IF(Input!$B$35="","",Input!$B$35)</f>
      </c>
      <c r="K16" s="473"/>
      <c r="O16" s="38" t="s">
        <v>998</v>
      </c>
      <c r="IQ16" s="13"/>
    </row>
    <row r="17" spans="1:251" ht="12.75">
      <c r="A17" s="461" t="s">
        <v>97</v>
      </c>
      <c r="B17" s="538"/>
      <c r="C17" s="539"/>
      <c r="D17" s="477"/>
      <c r="E17" s="477"/>
      <c r="F17" s="477"/>
      <c r="G17" s="477"/>
      <c r="H17" s="477"/>
      <c r="I17" s="461" t="s">
        <v>980</v>
      </c>
      <c r="J17" s="472">
        <f>IF(Input!$B$36="","",Input!$B$36)</f>
      </c>
      <c r="K17" s="473"/>
      <c r="IQ17" s="13"/>
    </row>
    <row r="18" spans="1:251" ht="12.75">
      <c r="A18" s="461" t="s">
        <v>103</v>
      </c>
      <c r="B18" s="462">
        <f>IF(Input!$B$9="","",Input!$B$9)</f>
      </c>
      <c r="C18" s="463"/>
      <c r="D18" s="477"/>
      <c r="E18" s="477"/>
      <c r="F18" s="477"/>
      <c r="G18" s="477"/>
      <c r="H18" s="477"/>
      <c r="I18" s="478"/>
      <c r="J18" s="479"/>
      <c r="K18" s="480"/>
      <c r="O18" s="38" t="s">
        <v>1150</v>
      </c>
      <c r="IQ18" s="13"/>
    </row>
    <row r="19" spans="1:251" ht="12.75">
      <c r="A19" s="461" t="s">
        <v>104</v>
      </c>
      <c r="B19" s="481">
        <f>'Setup Bm Input'!$B$34</f>
      </c>
      <c r="C19" s="463">
        <f>IF(Input!$B$6="","",IF(Input!$B$6="E","in.",IF(Input!$B$6="M","mm")))</f>
      </c>
      <c r="F19" s="477"/>
      <c r="G19" s="477"/>
      <c r="H19" s="477"/>
      <c r="I19" s="8" t="str">
        <f>Main!J1</f>
        <v>Revised 4/22/16</v>
      </c>
      <c r="J19" s="483"/>
      <c r="K19" s="480"/>
      <c r="O19" s="38" t="s">
        <v>1151</v>
      </c>
      <c r="IQ19" s="13"/>
    </row>
    <row r="20" spans="1:251" ht="12.75">
      <c r="A20" s="458"/>
      <c r="B20" s="458"/>
      <c r="C20" s="458"/>
      <c r="D20" s="458"/>
      <c r="E20" s="458"/>
      <c r="F20" s="458"/>
      <c r="G20" s="458"/>
      <c r="H20" s="458"/>
      <c r="I20" s="458"/>
      <c r="J20" s="458"/>
      <c r="K20" s="458"/>
      <c r="IQ20" s="13"/>
    </row>
    <row r="21" spans="1:251" ht="12.75">
      <c r="A21" s="458"/>
      <c r="B21" s="458"/>
      <c r="C21" s="458"/>
      <c r="D21" s="458"/>
      <c r="E21" s="458"/>
      <c r="F21" s="458"/>
      <c r="G21" s="458"/>
      <c r="H21" s="458"/>
      <c r="I21" s="458"/>
      <c r="J21" s="458"/>
      <c r="K21" s="458"/>
      <c r="IQ21" s="13">
        <f>IF(Data!D78="","",Data!D78)</f>
        <v>0</v>
      </c>
    </row>
    <row r="22" spans="1:251" ht="12.75">
      <c r="A22" s="458"/>
      <c r="B22" s="458"/>
      <c r="C22" s="458"/>
      <c r="D22" s="458"/>
      <c r="E22" s="458"/>
      <c r="F22" s="458"/>
      <c r="G22" s="458"/>
      <c r="H22" s="458"/>
      <c r="I22" s="458"/>
      <c r="J22" s="458"/>
      <c r="K22" s="458"/>
      <c r="IQ22" s="13">
        <f>IF(Data!D79="","",Data!D79)</f>
        <v>0</v>
      </c>
    </row>
    <row r="23" spans="1:251" ht="12.75">
      <c r="A23" s="458"/>
      <c r="B23" s="458"/>
      <c r="C23" s="458"/>
      <c r="D23" s="458"/>
      <c r="E23" s="458"/>
      <c r="F23" s="458"/>
      <c r="G23" s="458"/>
      <c r="H23" s="458"/>
      <c r="I23" s="458"/>
      <c r="J23" s="458"/>
      <c r="K23" s="458"/>
      <c r="IQ23" s="13">
        <f>IF(Data!D80="","",Data!D80)</f>
        <v>0</v>
      </c>
    </row>
    <row r="24" spans="1:251" ht="15.75">
      <c r="A24" s="484"/>
      <c r="B24" s="458"/>
      <c r="C24" s="458"/>
      <c r="D24" s="458"/>
      <c r="E24" s="458"/>
      <c r="F24" s="458"/>
      <c r="G24" s="458"/>
      <c r="H24" s="458"/>
      <c r="I24" s="458"/>
      <c r="J24" s="458"/>
      <c r="K24" s="458"/>
      <c r="IQ24" s="13">
        <f>IF(Data!D81="","",Data!D81)</f>
        <v>0</v>
      </c>
    </row>
    <row r="25" spans="1:251" ht="12.75">
      <c r="A25" s="458"/>
      <c r="B25" s="458"/>
      <c r="C25" s="458"/>
      <c r="D25" s="458"/>
      <c r="E25" s="485"/>
      <c r="F25" s="486" t="s">
        <v>1015</v>
      </c>
      <c r="G25" s="487"/>
      <c r="H25" s="488"/>
      <c r="I25" s="486" t="s">
        <v>1016</v>
      </c>
      <c r="J25" s="487"/>
      <c r="K25" s="458"/>
      <c r="IQ25" s="13">
        <f>IF(Data!D82="","",Data!D82)</f>
        <v>0</v>
      </c>
    </row>
    <row r="26" spans="1:251" ht="12.75">
      <c r="A26" s="458" t="s">
        <v>967</v>
      </c>
      <c r="B26" s="489">
        <f>IF(Input!$E$14="","",Input!$E$14)</f>
      </c>
      <c r="C26" s="490"/>
      <c r="D26" s="458"/>
      <c r="E26" s="491" t="s">
        <v>951</v>
      </c>
      <c r="F26" s="84"/>
      <c r="G26" s="492">
        <f>IF(Input!$B$6="","",IF(Input!$B$6="E","in.",IF(Input!$B$6="M","mm")))</f>
      </c>
      <c r="H26" s="493" t="s">
        <v>73</v>
      </c>
      <c r="I26" s="156"/>
      <c r="J26" s="492">
        <f>IF(Input!$B$6="","",IF(Input!$B$6="E","in.",IF(Input!$B$6="M","mm")))</f>
      </c>
      <c r="K26" s="458"/>
      <c r="IQ26" s="13">
        <f>IF(Data!D83="","",Data!D83)</f>
        <v>0</v>
      </c>
    </row>
    <row r="27" spans="1:251" ht="15.75">
      <c r="A27" s="458"/>
      <c r="B27" s="494"/>
      <c r="C27" s="495"/>
      <c r="D27" s="458"/>
      <c r="E27" s="491" t="s">
        <v>1059</v>
      </c>
      <c r="F27" s="496"/>
      <c r="G27" s="497"/>
      <c r="H27" s="493" t="s">
        <v>1061</v>
      </c>
      <c r="I27" s="498"/>
      <c r="J27" s="497"/>
      <c r="K27" s="458"/>
      <c r="IQ27" s="13">
        <f>IF(Data!D84="","",Data!D84)</f>
        <v>0</v>
      </c>
    </row>
    <row r="28" spans="1:251" ht="12.75">
      <c r="A28" s="485"/>
      <c r="B28" s="499"/>
      <c r="C28" s="487"/>
      <c r="D28" s="458"/>
      <c r="E28" s="500"/>
      <c r="F28" s="496"/>
      <c r="G28" s="497"/>
      <c r="H28" s="495"/>
      <c r="I28" s="501"/>
      <c r="J28" s="497"/>
      <c r="K28" s="458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IQ28" s="13">
        <f>IF(Data!D86="","",Data!D86)</f>
        <v>0</v>
      </c>
    </row>
    <row r="29" spans="1:251" ht="15.75">
      <c r="A29" s="491" t="s">
        <v>1057</v>
      </c>
      <c r="B29" s="25"/>
      <c r="C29" s="502">
        <f>IF(Input!$B$6="","",IF(Input!$B$6="E","lbs.",IF(Input!$B$6="M","N")))</f>
      </c>
      <c r="D29" s="458"/>
      <c r="E29" s="503" t="s">
        <v>1012</v>
      </c>
      <c r="F29" s="116"/>
      <c r="G29" s="492"/>
      <c r="H29" s="493" t="s">
        <v>1062</v>
      </c>
      <c r="I29" s="156"/>
      <c r="J29" s="492">
        <f>IF(Input!$B$6="","",IF(Input!$B$6="E","in.",IF(Input!$B$6="M","mm")))</f>
      </c>
      <c r="K29" s="458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IQ29" s="13">
        <f>IF(Data!D87="","",Data!D87)</f>
        <v>0</v>
      </c>
    </row>
    <row r="30" spans="1:251" ht="15.75">
      <c r="A30" s="491" t="s">
        <v>994</v>
      </c>
      <c r="B30" s="25"/>
      <c r="C30" s="504">
        <f>IF(Input!$B$6="","",IF(Input!$B$6="E","lbs.",IF(Input!$B$6="M","N")))</f>
      </c>
      <c r="D30" s="458"/>
      <c r="E30" s="500" t="s">
        <v>1008</v>
      </c>
      <c r="F30" s="488"/>
      <c r="G30" s="497"/>
      <c r="H30" s="495"/>
      <c r="I30" s="505"/>
      <c r="J30" s="497"/>
      <c r="K30" s="45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IQ30" s="13">
        <f>IF(Data!D88="","",Data!D88)</f>
        <v>0</v>
      </c>
    </row>
    <row r="31" spans="1:251" ht="15.75">
      <c r="A31" s="506"/>
      <c r="B31" s="507"/>
      <c r="C31" s="508"/>
      <c r="D31" s="458"/>
      <c r="E31" s="500"/>
      <c r="F31" s="495"/>
      <c r="G31" s="497"/>
      <c r="H31" s="493" t="s">
        <v>1063</v>
      </c>
      <c r="I31" s="156"/>
      <c r="J31" s="492">
        <f>IF(Input!$B$6="","",IF(Input!$B$6="E","in.",IF(Input!$B$6="M","mm")))</f>
      </c>
      <c r="K31" s="458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IQ31" s="13">
        <f>IF(Data!D89="","",Data!D89)</f>
        <v>0</v>
      </c>
    </row>
    <row r="32" spans="1:251" ht="12.75">
      <c r="A32" s="458"/>
      <c r="B32" s="458"/>
      <c r="C32" s="458"/>
      <c r="D32" s="458"/>
      <c r="E32" s="500" t="s">
        <v>1011</v>
      </c>
      <c r="F32" s="116"/>
      <c r="G32" s="497"/>
      <c r="H32" s="495"/>
      <c r="I32" s="495"/>
      <c r="J32" s="497"/>
      <c r="K32" s="458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IQ32" s="13">
        <f>IF(Data!D90="","",Data!D90)</f>
        <v>0</v>
      </c>
    </row>
    <row r="33" spans="1:251" ht="12.75">
      <c r="A33" s="485"/>
      <c r="B33" s="488"/>
      <c r="C33" s="487"/>
      <c r="D33" s="458"/>
      <c r="E33" s="500"/>
      <c r="F33" s="493"/>
      <c r="G33" s="497"/>
      <c r="H33" s="495"/>
      <c r="I33" s="509"/>
      <c r="J33" s="492"/>
      <c r="K33" s="458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IQ33" s="13">
        <f>IF(Data!D91="","",Data!D91)</f>
        <v>0</v>
      </c>
    </row>
    <row r="34" spans="1:251" ht="12.75">
      <c r="A34" s="491" t="s">
        <v>1014</v>
      </c>
      <c r="B34" s="157">
        <f>IF($B$18="","",VLOOKUP($B$18,Data!$A$224:$C$238,3,FALSE))</f>
      </c>
      <c r="C34" s="502">
        <f>IF(Input!$B$6="","",IF(Input!$B$6="E","in.",IF(Input!$B$6="M","mm")))</f>
      </c>
      <c r="D34" s="458"/>
      <c r="E34" s="500" t="s">
        <v>771</v>
      </c>
      <c r="F34" s="116"/>
      <c r="G34" s="497"/>
      <c r="H34" s="495"/>
      <c r="I34" s="510"/>
      <c r="J34" s="497"/>
      <c r="K34" s="458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IQ34" s="13">
        <f>IF(Data!D92="","",Data!D92)</f>
        <v>0</v>
      </c>
    </row>
    <row r="35" spans="1:251" ht="12.75">
      <c r="A35" s="491" t="s">
        <v>1058</v>
      </c>
      <c r="B35" s="495"/>
      <c r="C35" s="497"/>
      <c r="D35" s="458"/>
      <c r="E35" s="500"/>
      <c r="F35" s="495"/>
      <c r="G35" s="497"/>
      <c r="H35" s="495"/>
      <c r="I35" s="495"/>
      <c r="J35" s="497"/>
      <c r="K35" s="458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IQ35" s="13">
        <f>IF(Data!D93="","",Data!D93)</f>
        <v>0</v>
      </c>
    </row>
    <row r="36" spans="1:251" ht="15.75">
      <c r="A36" s="506"/>
      <c r="B36" s="507"/>
      <c r="C36" s="508"/>
      <c r="D36" s="458"/>
      <c r="E36" s="491" t="s">
        <v>1060</v>
      </c>
      <c r="F36" s="25"/>
      <c r="G36" s="492">
        <f>IF(Input!$B$6="","",IF(Input!$B$6="E","in.",IF(Input!$B$6="M","mm")))</f>
      </c>
      <c r="H36" s="495"/>
      <c r="I36" s="495"/>
      <c r="J36" s="497"/>
      <c r="K36" s="458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IQ36" s="13">
        <f>IF(Data!D94="","",Data!D94)</f>
        <v>0</v>
      </c>
    </row>
    <row r="37" spans="1:251" ht="15.75">
      <c r="A37" s="459"/>
      <c r="B37" s="458"/>
      <c r="C37" s="458"/>
      <c r="D37" s="458"/>
      <c r="E37" s="511" t="s">
        <v>1095</v>
      </c>
      <c r="F37" s="342"/>
      <c r="G37" s="492">
        <f>IF(Input!$B$6="","",IF(Input!$B$6="E","lbs.",IF(Input!$B$6="M","N")))</f>
      </c>
      <c r="H37" s="458"/>
      <c r="I37" s="458"/>
      <c r="J37" s="497"/>
      <c r="K37" s="458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IQ37" s="13">
        <f>IF(Data!D95="","",Data!D95)</f>
        <v>0</v>
      </c>
    </row>
    <row r="38" spans="1:251" ht="12.75">
      <c r="A38" s="485"/>
      <c r="B38" s="488"/>
      <c r="C38" s="487"/>
      <c r="D38" s="458"/>
      <c r="E38" s="506"/>
      <c r="F38" s="507"/>
      <c r="G38" s="508"/>
      <c r="H38" s="495"/>
      <c r="I38" s="495"/>
      <c r="J38" s="497"/>
      <c r="K38" s="458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IQ38" s="13">
        <f>IF(Data!D96="","",Data!D96)</f>
        <v>0</v>
      </c>
    </row>
    <row r="39" spans="1:251" ht="12.75">
      <c r="A39" s="491" t="s">
        <v>64</v>
      </c>
      <c r="B39" s="495"/>
      <c r="C39" s="497"/>
      <c r="D39" s="458"/>
      <c r="E39" s="458"/>
      <c r="F39" s="458"/>
      <c r="G39" s="458"/>
      <c r="H39" s="488"/>
      <c r="I39" s="499"/>
      <c r="J39" s="488"/>
      <c r="K39" s="458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IQ39" s="13">
        <f>IF(Data!D97="","",Data!D97)</f>
        <v>0</v>
      </c>
    </row>
    <row r="40" spans="1:251" ht="12.75">
      <c r="A40" s="491" t="s">
        <v>996</v>
      </c>
      <c r="B40" s="512" t="s">
        <v>684</v>
      </c>
      <c r="C40" s="513" t="s">
        <v>685</v>
      </c>
      <c r="D40" s="458"/>
      <c r="E40" s="459" t="s">
        <v>777</v>
      </c>
      <c r="F40" s="458"/>
      <c r="G40" s="458"/>
      <c r="H40" s="458"/>
      <c r="I40" s="494"/>
      <c r="J40" s="495"/>
      <c r="K40" s="458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IQ40" s="13">
        <f>IF(Data!D98="","",Data!D98)</f>
        <v>0</v>
      </c>
    </row>
    <row r="41" spans="1:251" ht="12.75">
      <c r="A41" s="500" t="s">
        <v>116</v>
      </c>
      <c r="B41" s="476">
        <v>97</v>
      </c>
      <c r="C41" s="476">
        <v>103</v>
      </c>
      <c r="D41" s="458"/>
      <c r="E41" s="459" t="s">
        <v>763</v>
      </c>
      <c r="F41" s="239"/>
      <c r="G41" s="514"/>
      <c r="H41" s="458"/>
      <c r="I41" s="494"/>
      <c r="J41" s="458"/>
      <c r="K41" s="45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IQ41" s="13">
        <f>IF(Data!D99="","",Data!D99)</f>
        <v>0</v>
      </c>
    </row>
    <row r="42" spans="1:251" ht="12.75">
      <c r="A42" s="500" t="s">
        <v>117</v>
      </c>
      <c r="B42" s="476">
        <v>95</v>
      </c>
      <c r="C42" s="476">
        <v>105</v>
      </c>
      <c r="D42" s="458"/>
      <c r="E42" s="65" t="s">
        <v>764</v>
      </c>
      <c r="F42" s="458"/>
      <c r="G42" s="515"/>
      <c r="H42" s="458"/>
      <c r="I42" s="458"/>
      <c r="J42" s="458"/>
      <c r="K42" s="45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IQ42" s="13">
        <f>IF(Data!D100="","",Data!D100)</f>
        <v>0</v>
      </c>
    </row>
    <row r="43" spans="1:251" ht="12.75">
      <c r="A43" s="500"/>
      <c r="B43" s="495"/>
      <c r="C43" s="497"/>
      <c r="D43" s="458"/>
      <c r="E43" s="65" t="s">
        <v>766</v>
      </c>
      <c r="F43" s="458"/>
      <c r="G43" s="458"/>
      <c r="H43" s="458"/>
      <c r="I43" s="458"/>
      <c r="J43" s="458"/>
      <c r="K43" s="45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IQ43" s="13">
        <f>IF(Data!D101="","",Data!D101)</f>
        <v>0</v>
      </c>
    </row>
    <row r="44" spans="1:251" ht="12.75">
      <c r="A44" s="516" t="s">
        <v>999</v>
      </c>
      <c r="B44" s="933" t="s">
        <v>792</v>
      </c>
      <c r="C44" s="497"/>
      <c r="D44" s="458"/>
      <c r="E44" s="65" t="s">
        <v>765</v>
      </c>
      <c r="F44" s="458"/>
      <c r="G44" s="458"/>
      <c r="H44" s="458"/>
      <c r="I44" s="458"/>
      <c r="J44" s="458"/>
      <c r="K44" s="45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IQ44" s="13">
        <f>IF(Data!D102="","",Data!D102)</f>
        <v>0</v>
      </c>
    </row>
    <row r="45" spans="1:251" ht="12.75" customHeight="1">
      <c r="A45" s="517" t="s">
        <v>1000</v>
      </c>
      <c r="B45" s="934" t="s">
        <v>793</v>
      </c>
      <c r="C45" s="497"/>
      <c r="D45" s="458"/>
      <c r="E45" s="458"/>
      <c r="F45" s="458"/>
      <c r="G45" s="458"/>
      <c r="H45" s="458"/>
      <c r="I45" s="518"/>
      <c r="J45" s="458"/>
      <c r="K45" s="458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IQ45" s="13">
        <f>IF(Data!D103="","",Data!D103)</f>
        <v>0</v>
      </c>
    </row>
    <row r="46" spans="1:251" ht="12.75">
      <c r="A46" s="116"/>
      <c r="B46" s="938"/>
      <c r="C46" s="497"/>
      <c r="D46" s="458"/>
      <c r="E46" s="459" t="s">
        <v>778</v>
      </c>
      <c r="F46" s="458"/>
      <c r="G46" s="458"/>
      <c r="H46" s="514"/>
      <c r="I46" s="518"/>
      <c r="J46" s="458"/>
      <c r="K46" s="458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IQ46" s="13">
        <f>IF(Data!D104="","",Data!D104)</f>
        <v>0</v>
      </c>
    </row>
    <row r="47" spans="1:251" ht="12.75">
      <c r="A47" s="500"/>
      <c r="B47" s="458"/>
      <c r="C47" s="497"/>
      <c r="D47" s="458"/>
      <c r="E47" s="459" t="s">
        <v>962</v>
      </c>
      <c r="F47" s="458"/>
      <c r="G47" s="458"/>
      <c r="H47" s="518"/>
      <c r="I47" s="518"/>
      <c r="J47" s="458"/>
      <c r="K47" s="495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IQ47" s="13">
        <f>IF(Data!D105="","",Data!D105)</f>
        <v>0</v>
      </c>
    </row>
    <row r="48" spans="1:251" ht="15.75">
      <c r="A48" s="511" t="s">
        <v>960</v>
      </c>
      <c r="B48" s="25"/>
      <c r="C48" s="497"/>
      <c r="D48" s="458"/>
      <c r="E48" s="458"/>
      <c r="F48" s="458"/>
      <c r="G48" s="458"/>
      <c r="H48" s="518"/>
      <c r="I48" s="470"/>
      <c r="J48" s="471"/>
      <c r="K48" s="519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IQ48" s="13">
        <f>IF(Data!D106="","",Data!D106)</f>
        <v>0</v>
      </c>
    </row>
    <row r="49" spans="1:251" ht="12.75">
      <c r="A49" s="500"/>
      <c r="B49" s="458"/>
      <c r="C49" s="497"/>
      <c r="D49" s="458"/>
      <c r="E49" s="485"/>
      <c r="F49" s="488"/>
      <c r="G49" s="487"/>
      <c r="H49" s="458"/>
      <c r="I49" s="470"/>
      <c r="J49" s="471"/>
      <c r="K49" s="519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IQ49" s="13">
        <f>IF(Data!D107="","",Data!D107)</f>
        <v>0</v>
      </c>
    </row>
    <row r="50" spans="1:251" ht="15.75">
      <c r="A50" s="511" t="s">
        <v>961</v>
      </c>
      <c r="B50" s="25"/>
      <c r="C50" s="497"/>
      <c r="D50" s="458"/>
      <c r="E50" s="491" t="s">
        <v>1147</v>
      </c>
      <c r="F50" s="495"/>
      <c r="G50" s="520"/>
      <c r="H50" s="458"/>
      <c r="I50" s="495"/>
      <c r="J50" s="495"/>
      <c r="K50" s="519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IQ50" s="13">
        <f>IF(Data!D108="","",Data!D108)</f>
        <v>0</v>
      </c>
    </row>
    <row r="51" spans="1:251" ht="12.75">
      <c r="A51" s="511">
        <f>IF(B50&gt;6,"Per ABD 15.2, max of 6 is permitted.","")</f>
      </c>
      <c r="B51" s="458"/>
      <c r="C51" s="497"/>
      <c r="D51" s="458"/>
      <c r="E51" s="511" t="s">
        <v>1148</v>
      </c>
      <c r="F51" s="116"/>
      <c r="G51" s="497"/>
      <c r="H51" s="458"/>
      <c r="I51" s="519"/>
      <c r="J51" s="519"/>
      <c r="K51" s="519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IQ51" s="13">
        <f>IF(Data!D109="","",Data!D109)</f>
        <v>0</v>
      </c>
    </row>
    <row r="52" spans="1:251" ht="12.75">
      <c r="A52" s="500" t="str">
        <f>IF($A$46="Yes","Note: If the ratio of draped over straight length exceeds"," ")</f>
        <v> </v>
      </c>
      <c r="B52" s="495"/>
      <c r="C52" s="497"/>
      <c r="D52" s="458"/>
      <c r="E52" s="511" t="s">
        <v>1149</v>
      </c>
      <c r="F52" s="495"/>
      <c r="G52" s="497"/>
      <c r="H52" s="521"/>
      <c r="I52" s="519"/>
      <c r="J52" s="519"/>
      <c r="K52" s="519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IQ52" s="13">
        <f>IF(Data!D110="","",Data!D110)</f>
        <v>0</v>
      </c>
    </row>
    <row r="53" spans="1:32" ht="12.75">
      <c r="A53" s="500" t="str">
        <f>IF($A$46="Yes","1.002, separate calculations are required.  In separate "," ")</f>
        <v> </v>
      </c>
      <c r="B53" s="495"/>
      <c r="C53" s="497"/>
      <c r="D53" s="458"/>
      <c r="E53" s="506"/>
      <c r="F53" s="507"/>
      <c r="G53" s="508"/>
      <c r="H53" s="519"/>
      <c r="I53" s="519"/>
      <c r="J53" s="519"/>
      <c r="K53" s="495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2.75">
      <c r="A54" s="500" t="str">
        <f>IF($A$46="Yes","calculations, set 'Draped' to 'Yes', and 'Ratio' to 1.0,"," ")</f>
        <v> </v>
      </c>
      <c r="B54" s="495"/>
      <c r="C54" s="497"/>
      <c r="D54" s="458"/>
      <c r="E54" s="458"/>
      <c r="F54" s="458"/>
      <c r="G54" s="458"/>
      <c r="H54" s="519"/>
      <c r="I54" s="495"/>
      <c r="J54" s="495"/>
      <c r="K54" s="495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2.75">
      <c r="A55" s="500" t="str">
        <f>IF($A$46="Yes","do not change 'Tot. No. of Str.', set L to actual draped"," ")</f>
        <v> </v>
      </c>
      <c r="B55" s="495"/>
      <c r="C55" s="497"/>
      <c r="D55" s="458"/>
      <c r="E55" s="458"/>
      <c r="F55" s="458"/>
      <c r="G55" s="458"/>
      <c r="H55" s="519"/>
      <c r="I55" s="495"/>
      <c r="J55" s="495"/>
      <c r="K55" s="495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2.75">
      <c r="A56" s="506" t="str">
        <f>IF($A$46="Yes","length, and use only 'Draped' elongations in tensioning."," ")</f>
        <v> </v>
      </c>
      <c r="B56" s="507"/>
      <c r="C56" s="508"/>
      <c r="D56" s="458"/>
      <c r="E56" s="458"/>
      <c r="F56" s="458"/>
      <c r="G56" s="458"/>
      <c r="H56" s="495"/>
      <c r="I56" s="495"/>
      <c r="J56" s="495"/>
      <c r="K56" s="495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2.75">
      <c r="A57" s="458"/>
      <c r="B57" s="458"/>
      <c r="C57" s="458"/>
      <c r="D57" s="458"/>
      <c r="E57" s="458"/>
      <c r="F57" s="458"/>
      <c r="G57" s="458"/>
      <c r="H57" s="495"/>
      <c r="I57" s="495"/>
      <c r="J57" s="495"/>
      <c r="K57" s="495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2.75">
      <c r="A58" s="485"/>
      <c r="B58" s="488"/>
      <c r="C58" s="488"/>
      <c r="D58" s="488"/>
      <c r="E58" s="488"/>
      <c r="F58" s="488"/>
      <c r="G58" s="487"/>
      <c r="H58" s="495"/>
      <c r="I58" s="495"/>
      <c r="J58" s="495"/>
      <c r="K58" s="495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2.75">
      <c r="A59" s="491" t="s">
        <v>1013</v>
      </c>
      <c r="B59" s="140"/>
      <c r="C59" s="522"/>
      <c r="D59" s="495"/>
      <c r="E59" s="495"/>
      <c r="F59" s="495"/>
      <c r="G59" s="497"/>
      <c r="H59" s="495"/>
      <c r="I59" s="495"/>
      <c r="J59" s="495"/>
      <c r="K59" s="495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2.75">
      <c r="A60" s="500"/>
      <c r="B60" s="495"/>
      <c r="C60" s="495"/>
      <c r="D60" s="495"/>
      <c r="E60" s="495"/>
      <c r="F60" s="495"/>
      <c r="G60" s="497"/>
      <c r="H60" s="495"/>
      <c r="I60" s="495"/>
      <c r="J60" s="495"/>
      <c r="K60" s="495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5.75">
      <c r="A61" s="523"/>
      <c r="B61" s="495"/>
      <c r="C61" s="495"/>
      <c r="D61" s="524" t="s">
        <v>1022</v>
      </c>
      <c r="E61" s="524" t="s">
        <v>1023</v>
      </c>
      <c r="F61" s="524" t="s">
        <v>1024</v>
      </c>
      <c r="G61" s="497"/>
      <c r="H61" s="495"/>
      <c r="I61" s="495"/>
      <c r="J61" s="495"/>
      <c r="K61" s="495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2.75">
      <c r="A62" s="525" t="s">
        <v>112</v>
      </c>
      <c r="B62" s="525" t="s">
        <v>114</v>
      </c>
      <c r="C62" s="525">
        <f>IF(Input!$B$6="","",IF(Input!$B$6="E","Dia. (in.)",IF(Input!$B$6="M","Dia. (mm)")))</f>
      </c>
      <c r="D62" s="525">
        <f>IF(Input!$B$6="","",IF(Input!$B$6="E","Area (sq. in.)",IF(Input!$B$6="M","Area (sq. mm)")))</f>
      </c>
      <c r="E62" s="525">
        <f>IF(Input!$B$6="","",IF(Input!$B$6="E","Mod. El. (psi)",IF(Input!$B$6="M","Mod. El. (kPA)")))</f>
      </c>
      <c r="F62" s="525">
        <f>IF(Input!$B$6="","",IF(Input!$B$6="E","Ten. Cap. (psi)",IF(Input!$B$6="M","Ten. Cap. (kPA)")))</f>
      </c>
      <c r="G62" s="497"/>
      <c r="H62" s="495"/>
      <c r="I62" s="495"/>
      <c r="J62" s="495"/>
      <c r="K62" s="495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2.75">
      <c r="A63" s="525" t="s">
        <v>90</v>
      </c>
      <c r="B63" s="133"/>
      <c r="C63" s="156"/>
      <c r="D63" s="938"/>
      <c r="E63" s="342"/>
      <c r="F63" s="342"/>
      <c r="G63" s="497"/>
      <c r="H63" s="495"/>
      <c r="I63" s="495"/>
      <c r="J63" s="495"/>
      <c r="K63" s="495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2.75" customHeight="1">
      <c r="A64" s="525" t="s">
        <v>91</v>
      </c>
      <c r="B64" s="133"/>
      <c r="C64" s="156"/>
      <c r="D64" s="938"/>
      <c r="E64" s="342"/>
      <c r="F64" s="342"/>
      <c r="G64" s="497"/>
      <c r="H64" s="526"/>
      <c r="I64" s="526"/>
      <c r="J64" s="526"/>
      <c r="K64" s="526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2.75">
      <c r="A65" s="525" t="s">
        <v>92</v>
      </c>
      <c r="B65" s="133"/>
      <c r="C65" s="156"/>
      <c r="D65" s="938"/>
      <c r="E65" s="342"/>
      <c r="F65" s="342"/>
      <c r="G65" s="497"/>
      <c r="H65" s="495"/>
      <c r="I65" s="495"/>
      <c r="J65" s="495"/>
      <c r="K65" s="495"/>
      <c r="L65" s="2"/>
      <c r="M65" s="2"/>
      <c r="N65" s="2"/>
      <c r="O65" s="146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2.75">
      <c r="A66" s="525" t="s">
        <v>93</v>
      </c>
      <c r="B66" s="133"/>
      <c r="C66" s="156"/>
      <c r="D66" s="938"/>
      <c r="E66" s="342"/>
      <c r="F66" s="342"/>
      <c r="G66" s="527"/>
      <c r="H66" s="528"/>
      <c r="I66" s="495"/>
      <c r="J66" s="495"/>
      <c r="K66" s="495"/>
      <c r="L66" s="2"/>
      <c r="M66" s="2"/>
      <c r="N66" s="2"/>
      <c r="O66" s="146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2.75">
      <c r="A67" s="529"/>
      <c r="B67" s="507"/>
      <c r="C67" s="507"/>
      <c r="D67" s="507"/>
      <c r="E67" s="507"/>
      <c r="F67" s="507"/>
      <c r="G67" s="508"/>
      <c r="H67" s="239"/>
      <c r="I67" s="495"/>
      <c r="J67" s="495"/>
      <c r="K67" s="495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2.75">
      <c r="A68" s="495"/>
      <c r="B68" s="495"/>
      <c r="C68" s="530"/>
      <c r="D68" s="531"/>
      <c r="E68" s="532"/>
      <c r="F68" s="495"/>
      <c r="G68" s="495"/>
      <c r="H68" s="495"/>
      <c r="I68" s="495"/>
      <c r="J68" s="495"/>
      <c r="K68" s="495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2.75">
      <c r="A69" s="478" t="s">
        <v>98</v>
      </c>
      <c r="B69" s="540"/>
      <c r="C69" s="541"/>
      <c r="D69" s="541"/>
      <c r="E69" s="541"/>
      <c r="F69" s="541"/>
      <c r="G69" s="541"/>
      <c r="H69" s="541"/>
      <c r="I69" s="541"/>
      <c r="J69" s="541"/>
      <c r="K69" s="54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2.75">
      <c r="A70" s="468"/>
      <c r="B70" s="542"/>
      <c r="C70" s="542"/>
      <c r="D70" s="542"/>
      <c r="E70" s="542"/>
      <c r="F70" s="542"/>
      <c r="G70" s="542"/>
      <c r="H70" s="542"/>
      <c r="I70" s="542"/>
      <c r="J70" s="542"/>
      <c r="K70" s="54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2.75">
      <c r="A71" s="541"/>
      <c r="B71" s="541"/>
      <c r="C71" s="541"/>
      <c r="D71" s="541"/>
      <c r="E71" s="541"/>
      <c r="F71" s="541"/>
      <c r="G71" s="541"/>
      <c r="H71" s="541"/>
      <c r="I71" s="541"/>
      <c r="J71" s="541"/>
      <c r="K71" s="54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2.75">
      <c r="A72" s="468"/>
      <c r="B72" s="468"/>
      <c r="C72" s="468"/>
      <c r="D72" s="468"/>
      <c r="E72" s="468"/>
      <c r="F72" s="468"/>
      <c r="G72" s="468"/>
      <c r="H72" s="468"/>
      <c r="I72" s="468"/>
      <c r="J72" s="468"/>
      <c r="K72" s="468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2.75">
      <c r="A73" s="468"/>
      <c r="B73" s="468"/>
      <c r="C73" s="458"/>
      <c r="D73" s="468"/>
      <c r="E73" s="468"/>
      <c r="F73" s="533" t="s">
        <v>967</v>
      </c>
      <c r="G73" s="534">
        <f>IF(Input!E14="","",Input!E14)</f>
      </c>
      <c r="H73" s="535"/>
      <c r="I73" s="536"/>
      <c r="J73" s="468"/>
      <c r="K73" s="537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2.75">
      <c r="A74" s="2"/>
      <c r="B74" s="5"/>
      <c r="C74" s="5"/>
      <c r="D74" s="5"/>
      <c r="E74" s="5"/>
      <c r="F74" s="5"/>
      <c r="G74" s="139"/>
      <c r="H74" s="139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2.75">
      <c r="A75" s="2"/>
      <c r="B75" s="2"/>
      <c r="C75" s="5"/>
      <c r="D75" s="5"/>
      <c r="E75" s="5"/>
      <c r="F75" s="5"/>
      <c r="G75" s="5"/>
      <c r="H75" s="5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2.75">
      <c r="A76" s="2"/>
      <c r="B76" s="5"/>
      <c r="C76" s="138"/>
      <c r="D76" s="138"/>
      <c r="E76" s="138"/>
      <c r="F76" s="138"/>
      <c r="G76" s="138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2.75">
      <c r="A77" s="2"/>
      <c r="B77" s="5"/>
      <c r="C77" s="138"/>
      <c r="D77" s="138"/>
      <c r="E77" s="138"/>
      <c r="F77" s="138"/>
      <c r="G77" s="138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2.75">
      <c r="A78" s="2"/>
      <c r="B78" s="145"/>
      <c r="C78" s="138"/>
      <c r="D78" s="138"/>
      <c r="E78" s="138"/>
      <c r="F78" s="138"/>
      <c r="G78" s="138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2.75">
      <c r="A79" s="2"/>
      <c r="B79" s="5"/>
      <c r="C79" s="138"/>
      <c r="D79" s="138"/>
      <c r="E79" s="138"/>
      <c r="F79" s="138"/>
      <c r="G79" s="138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2.75">
      <c r="A80" s="14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2.75">
      <c r="A81" s="2"/>
      <c r="B81" s="66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2.7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2.75">
      <c r="A84" s="2"/>
      <c r="B84" s="5"/>
      <c r="C84" s="2"/>
      <c r="D84" s="2"/>
      <c r="E84" s="2"/>
      <c r="F84" s="2"/>
      <c r="G84" s="5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2.75">
      <c r="A85" s="2"/>
      <c r="B85" s="139"/>
      <c r="C85" s="5"/>
      <c r="D85" s="139"/>
      <c r="E85" s="5"/>
      <c r="F85" s="139"/>
      <c r="G85" s="139"/>
      <c r="H85" s="5"/>
      <c r="I85" s="139"/>
      <c r="J85" s="5"/>
      <c r="K85" s="139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12.75">
      <c r="A87" s="5"/>
      <c r="B87" s="5"/>
      <c r="C87" s="5"/>
      <c r="D87" s="5"/>
      <c r="E87" s="2"/>
      <c r="F87" s="2"/>
      <c r="G87" s="5"/>
      <c r="H87" s="5"/>
      <c r="I87" s="5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12.75">
      <c r="A88" s="145"/>
      <c r="B88" s="5"/>
      <c r="C88" s="5"/>
      <c r="D88" s="5"/>
      <c r="E88" s="52"/>
      <c r="F88" s="52"/>
      <c r="G88" s="5"/>
      <c r="H88" s="5"/>
      <c r="I88" s="5"/>
      <c r="J88" s="52"/>
      <c r="K88" s="52"/>
      <c r="L88" s="2"/>
      <c r="M88" s="2"/>
      <c r="N88" s="2"/>
      <c r="O88" s="5"/>
      <c r="P88" s="5"/>
      <c r="Q88" s="5"/>
      <c r="R88" s="5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2.75">
      <c r="A89" s="5"/>
      <c r="B89" s="5"/>
      <c r="C89" s="5"/>
      <c r="D89" s="5"/>
      <c r="E89" s="2"/>
      <c r="F89" s="2"/>
      <c r="G89" s="5"/>
      <c r="H89" s="5"/>
      <c r="I89" s="5"/>
      <c r="J89" s="2"/>
      <c r="K89" s="2"/>
      <c r="L89" s="2"/>
      <c r="M89" s="2"/>
      <c r="N89" s="2"/>
      <c r="O89" s="5"/>
      <c r="P89" s="5"/>
      <c r="Q89" s="5"/>
      <c r="R89" s="5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12.75">
      <c r="A90" s="2"/>
      <c r="B90" s="5"/>
      <c r="C90" s="5"/>
      <c r="D90" s="5"/>
      <c r="E90" s="2"/>
      <c r="F90" s="2"/>
      <c r="G90" s="5"/>
      <c r="H90" s="5"/>
      <c r="I90" s="5"/>
      <c r="J90" s="2"/>
      <c r="K90" s="2"/>
      <c r="L90" s="2"/>
      <c r="M90" s="2"/>
      <c r="N90" s="2"/>
      <c r="O90" s="5"/>
      <c r="P90" s="5"/>
      <c r="Q90" s="5"/>
      <c r="R90" s="5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12.75">
      <c r="A91" s="14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47"/>
      <c r="P91" s="147"/>
      <c r="Q91" s="147"/>
      <c r="R91" s="147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5"/>
      <c r="P92" s="5"/>
      <c r="Q92" s="5"/>
      <c r="R92" s="5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5"/>
      <c r="P93" s="5"/>
      <c r="Q93" s="5"/>
      <c r="R93" s="5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5.75">
      <c r="A94" s="15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15.75">
      <c r="A95" s="2"/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144"/>
      <c r="N96" s="4"/>
      <c r="O96" s="148"/>
      <c r="P96" s="148"/>
      <c r="Q96" s="148"/>
      <c r="R96" s="148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2.75">
      <c r="A97" s="2"/>
      <c r="B97" s="5"/>
      <c r="C97" s="5"/>
      <c r="D97" s="2"/>
      <c r="E97" s="2"/>
      <c r="F97" s="2"/>
      <c r="G97" s="4"/>
      <c r="H97" s="5"/>
      <c r="I97" s="2"/>
      <c r="J97" s="2"/>
      <c r="K97" s="2"/>
      <c r="L97" s="2"/>
      <c r="M97" s="144"/>
      <c r="N97" s="4"/>
      <c r="O97" s="5"/>
      <c r="P97" s="5"/>
      <c r="Q97" s="5"/>
      <c r="R97" s="5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2.75">
      <c r="A98" s="2"/>
      <c r="B98" s="2"/>
      <c r="C98" s="139"/>
      <c r="D98" s="5"/>
      <c r="E98" s="139"/>
      <c r="F98" s="5"/>
      <c r="G98" s="139"/>
      <c r="H98" s="139"/>
      <c r="I98" s="5"/>
      <c r="J98" s="2"/>
      <c r="K98" s="2"/>
      <c r="L98" s="2"/>
      <c r="M98" s="2"/>
      <c r="N98" s="4"/>
      <c r="O98" s="147"/>
      <c r="P98" s="147"/>
      <c r="Q98" s="147"/>
      <c r="R98" s="147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2.75">
      <c r="A99" s="2"/>
      <c r="B99" s="2"/>
      <c r="C99" s="5"/>
      <c r="D99" s="5"/>
      <c r="E99" s="5"/>
      <c r="F99" s="5"/>
      <c r="G99" s="5"/>
      <c r="H99" s="5"/>
      <c r="I99" s="5"/>
      <c r="J99" s="5"/>
      <c r="K99" s="139"/>
      <c r="L99" s="2"/>
      <c r="M99" s="2"/>
      <c r="N99" s="4"/>
      <c r="O99" s="5"/>
      <c r="P99" s="5"/>
      <c r="Q99" s="5"/>
      <c r="R99" s="5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2.75">
      <c r="A100" s="2"/>
      <c r="B100" s="5"/>
      <c r="C100" s="5"/>
      <c r="D100" s="5"/>
      <c r="E100" s="5"/>
      <c r="F100" s="2"/>
      <c r="G100" s="2"/>
      <c r="H100" s="5"/>
      <c r="I100" s="5"/>
      <c r="J100" s="5"/>
      <c r="K100" s="5"/>
      <c r="L100" s="2"/>
      <c r="M100" s="2"/>
      <c r="N100" s="2"/>
      <c r="O100" s="5"/>
      <c r="P100" s="5"/>
      <c r="Q100" s="5"/>
      <c r="R100" s="5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12.75">
      <c r="A101" s="2"/>
      <c r="B101" s="5"/>
      <c r="C101" s="5"/>
      <c r="D101" s="5"/>
      <c r="E101" s="5"/>
      <c r="F101" s="52"/>
      <c r="G101" s="52"/>
      <c r="H101" s="5"/>
      <c r="I101" s="5"/>
      <c r="J101" s="2"/>
      <c r="K101" s="2"/>
      <c r="L101" s="2"/>
      <c r="M101" s="2"/>
      <c r="N101" s="4"/>
      <c r="O101" s="148"/>
      <c r="P101" s="148"/>
      <c r="Q101" s="148"/>
      <c r="R101" s="148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12.75">
      <c r="A102" s="2"/>
      <c r="B102" s="145"/>
      <c r="C102" s="5"/>
      <c r="D102" s="5"/>
      <c r="E102" s="5"/>
      <c r="F102" s="2"/>
      <c r="G102" s="2"/>
      <c r="H102" s="5"/>
      <c r="I102" s="5"/>
      <c r="J102" s="52"/>
      <c r="K102" s="52"/>
      <c r="L102" s="2"/>
      <c r="M102" s="2"/>
      <c r="N102" s="4"/>
      <c r="O102" s="139"/>
      <c r="P102" s="139"/>
      <c r="Q102" s="139"/>
      <c r="R102" s="139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12.75">
      <c r="A103" s="2"/>
      <c r="B103" s="5"/>
      <c r="C103" s="5"/>
      <c r="D103" s="5"/>
      <c r="E103" s="5"/>
      <c r="F103" s="2"/>
      <c r="G103" s="2"/>
      <c r="H103" s="5"/>
      <c r="I103" s="5"/>
      <c r="J103" s="2"/>
      <c r="K103" s="2"/>
      <c r="L103" s="2"/>
      <c r="M103" s="2"/>
      <c r="N103" s="4"/>
      <c r="O103" s="147"/>
      <c r="P103" s="147"/>
      <c r="Q103" s="147"/>
      <c r="R103" s="147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4"/>
      <c r="O104" s="5"/>
      <c r="P104" s="5"/>
      <c r="Q104" s="5"/>
      <c r="R104" s="5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12.75">
      <c r="A105" s="2"/>
      <c r="B105" s="14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5"/>
      <c r="P105" s="5"/>
      <c r="Q105" s="5"/>
      <c r="R105" s="5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12.75">
      <c r="A110" s="14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12.75">
      <c r="A111" s="2"/>
      <c r="B111" s="149"/>
      <c r="C111" s="150"/>
      <c r="D111" s="150"/>
      <c r="E111" s="150"/>
      <c r="F111" s="150"/>
      <c r="G111" s="150"/>
      <c r="H111" s="150"/>
      <c r="I111" s="150"/>
      <c r="J111" s="150"/>
      <c r="K111" s="150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12.75">
      <c r="A112" s="149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12.75">
      <c r="A113" s="2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12.75">
      <c r="A114" s="54"/>
      <c r="B114" s="2"/>
      <c r="C114" s="2"/>
      <c r="D114" s="2"/>
      <c r="E114" s="2"/>
      <c r="F114" s="2"/>
      <c r="G114" s="2"/>
      <c r="H114" s="141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12.75">
      <c r="A115" s="54"/>
      <c r="B115" s="54"/>
      <c r="C115" s="54"/>
      <c r="D115" s="151"/>
      <c r="E115" s="54"/>
      <c r="F115" s="54"/>
      <c r="G115" s="54"/>
      <c r="H115" s="5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12.75">
      <c r="A116" s="151"/>
      <c r="B116" s="54"/>
      <c r="C116" s="54"/>
      <c r="D116" s="54"/>
      <c r="E116" s="54"/>
      <c r="F116" s="54"/>
      <c r="G116" s="54"/>
      <c r="H116" s="5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12.75">
      <c r="A117" s="152"/>
      <c r="B117" s="151"/>
      <c r="C117" s="151"/>
      <c r="D117" s="151"/>
      <c r="E117" s="151"/>
      <c r="F117" s="151"/>
      <c r="G117" s="151"/>
      <c r="H117" s="54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2:32" ht="12.75">
      <c r="B118" s="152"/>
      <c r="C118" s="152"/>
      <c r="D118" s="152"/>
      <c r="E118" s="152"/>
      <c r="F118" s="153"/>
      <c r="G118" s="153"/>
      <c r="H118" s="15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</sheetData>
  <sheetProtection sheet="1"/>
  <mergeCells count="6">
    <mergeCell ref="A8:K8"/>
    <mergeCell ref="D9:D12"/>
    <mergeCell ref="A1:C1"/>
    <mergeCell ref="A5:K5"/>
    <mergeCell ref="A6:K6"/>
    <mergeCell ref="A7:K7"/>
  </mergeCells>
  <dataValidations count="2">
    <dataValidation type="list" allowBlank="1" showInputMessage="1" showErrorMessage="1" sqref="A46 F29 F32 F34">
      <formula1>$O$15:$O$16</formula1>
    </dataValidation>
    <dataValidation type="list" allowBlank="1" showInputMessage="1" showErrorMessage="1" sqref="F51">
      <formula1>$O$18:$O$19</formula1>
    </dataValidation>
  </dataValidations>
  <printOptions horizontalCentered="1"/>
  <pageMargins left="0.5" right="0.5" top="0.5" bottom="0.5" header="0" footer="0"/>
  <pageSetup fitToHeight="1" fitToWidth="1" horizontalDpi="600" verticalDpi="600" orientation="portrait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IQ115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3.57421875" style="0" customWidth="1"/>
    <col min="2" max="2" width="15.421875" style="0" customWidth="1"/>
    <col min="3" max="3" width="15.8515625" style="0" customWidth="1"/>
    <col min="4" max="4" width="14.57421875" style="0" customWidth="1"/>
    <col min="5" max="5" width="13.00390625" style="0" customWidth="1"/>
    <col min="6" max="6" width="13.28125" style="0" customWidth="1"/>
    <col min="7" max="8" width="13.140625" style="0" customWidth="1"/>
    <col min="9" max="9" width="10.7109375" style="0" customWidth="1"/>
    <col min="10" max="10" width="7.8515625" style="0" customWidth="1"/>
    <col min="11" max="11" width="7.140625" style="0" customWidth="1"/>
  </cols>
  <sheetData>
    <row r="1" spans="1:251" ht="12.75">
      <c r="A1" s="1020" t="s">
        <v>835</v>
      </c>
      <c r="B1" s="1026"/>
      <c r="C1" s="1026"/>
      <c r="D1" s="458"/>
      <c r="E1" s="458"/>
      <c r="F1" s="458"/>
      <c r="G1" s="458"/>
      <c r="H1" s="458"/>
      <c r="I1" s="458"/>
      <c r="J1" s="458"/>
      <c r="K1" s="458"/>
      <c r="IQ1" t="s">
        <v>992</v>
      </c>
    </row>
    <row r="2" spans="1:251" ht="12.75">
      <c r="A2" s="543"/>
      <c r="B2" s="458"/>
      <c r="C2" s="458"/>
      <c r="D2" s="458"/>
      <c r="E2" s="458"/>
      <c r="F2" s="458"/>
      <c r="G2" s="458"/>
      <c r="H2" s="458"/>
      <c r="I2" s="458"/>
      <c r="J2" s="458"/>
      <c r="K2" s="458"/>
      <c r="IQ2" s="13">
        <f>IF(Data!D71="","",Data!D71)</f>
        <v>0</v>
      </c>
    </row>
    <row r="3" spans="1:251" ht="15.75">
      <c r="A3" s="484" t="s">
        <v>1005</v>
      </c>
      <c r="B3" s="458"/>
      <c r="C3" s="458"/>
      <c r="D3" s="458"/>
      <c r="E3" s="458"/>
      <c r="F3" s="458"/>
      <c r="G3" s="458"/>
      <c r="H3" s="458"/>
      <c r="I3" s="544"/>
      <c r="J3" s="458"/>
      <c r="K3" s="458"/>
      <c r="O3" s="4"/>
      <c r="IQ3" s="13">
        <f>IF(Data!D72="","",Data!D72)</f>
        <v>0</v>
      </c>
    </row>
    <row r="4" spans="1:251" ht="12.75">
      <c r="A4" s="458"/>
      <c r="B4" s="458"/>
      <c r="C4" s="458"/>
      <c r="D4" s="458"/>
      <c r="E4" s="458"/>
      <c r="F4" s="458"/>
      <c r="G4" s="545"/>
      <c r="H4" s="65"/>
      <c r="I4" s="509"/>
      <c r="J4" s="532"/>
      <c r="K4" s="458"/>
      <c r="O4" s="4"/>
      <c r="IQ4" s="13"/>
    </row>
    <row r="5" spans="1:251" ht="12.75">
      <c r="A5" s="458" t="s">
        <v>967</v>
      </c>
      <c r="B5" s="489">
        <f>IF(Input!E14="","",Input!E14)</f>
      </c>
      <c r="C5" s="490"/>
      <c r="D5" s="458"/>
      <c r="E5" s="458"/>
      <c r="F5" s="458"/>
      <c r="G5" s="458"/>
      <c r="H5" s="65"/>
      <c r="I5" s="509"/>
      <c r="J5" s="458"/>
      <c r="K5" s="458"/>
      <c r="O5" s="4"/>
      <c r="IQ5" s="13"/>
    </row>
    <row r="6" spans="1:251" ht="12.75">
      <c r="A6" s="546"/>
      <c r="B6" s="499"/>
      <c r="C6" s="488"/>
      <c r="D6" s="458"/>
      <c r="E6" s="458"/>
      <c r="F6" s="458"/>
      <c r="G6" s="458"/>
      <c r="H6" s="510"/>
      <c r="I6" s="509"/>
      <c r="J6" s="458"/>
      <c r="K6" s="458"/>
      <c r="O6" s="4"/>
      <c r="IQ6" s="13"/>
    </row>
    <row r="7" spans="1:251" ht="12.75">
      <c r="A7" s="547" t="s">
        <v>1001</v>
      </c>
      <c r="B7" s="487"/>
      <c r="C7" s="458"/>
      <c r="D7" s="458"/>
      <c r="E7" s="459" t="s">
        <v>1009</v>
      </c>
      <c r="F7" s="544"/>
      <c r="G7" s="510"/>
      <c r="H7" s="65"/>
      <c r="I7" s="509"/>
      <c r="J7" s="532"/>
      <c r="K7" s="458"/>
      <c r="O7" s="4"/>
      <c r="IQ7" s="13">
        <f>IF(Data!D73="","",Data!D73)</f>
        <v>0</v>
      </c>
    </row>
    <row r="8" spans="1:251" ht="12.75">
      <c r="A8" s="491" t="s">
        <v>1002</v>
      </c>
      <c r="B8" s="476">
        <f>'Setup Bm Input'!F32</f>
        <v>0</v>
      </c>
      <c r="C8" s="458"/>
      <c r="D8" s="458"/>
      <c r="E8" s="65" t="s">
        <v>1004</v>
      </c>
      <c r="F8" s="496"/>
      <c r="G8" s="510"/>
      <c r="H8" s="510"/>
      <c r="I8" s="510"/>
      <c r="J8" s="458"/>
      <c r="K8" s="458"/>
      <c r="IQ8" s="13">
        <f>IF(Data!D74="","",Data!D74)</f>
        <v>0</v>
      </c>
    </row>
    <row r="9" spans="1:251" ht="15.75">
      <c r="A9" s="548" t="s">
        <v>1003</v>
      </c>
      <c r="B9" s="508"/>
      <c r="C9" s="458"/>
      <c r="D9" s="458"/>
      <c r="E9" s="65" t="s">
        <v>1018</v>
      </c>
      <c r="F9" s="570"/>
      <c r="G9" s="532">
        <f>IF(Input!$B$6="","",IF(Input!$B$6="E","in.",IF(Input!$B$6="M","mm")))</f>
      </c>
      <c r="H9" s="510"/>
      <c r="I9" s="549"/>
      <c r="J9" s="532"/>
      <c r="K9" s="458"/>
      <c r="IQ9" s="13">
        <f>IF(Data!D75="","",Data!D75)</f>
        <v>0</v>
      </c>
    </row>
    <row r="10" spans="1:251" ht="12.75">
      <c r="A10" s="458"/>
      <c r="B10" s="458"/>
      <c r="C10" s="458"/>
      <c r="D10" s="458"/>
      <c r="E10" s="458"/>
      <c r="F10" s="510"/>
      <c r="G10" s="510"/>
      <c r="H10" s="458"/>
      <c r="I10" s="458"/>
      <c r="J10" s="458"/>
      <c r="K10" s="458"/>
      <c r="IQ10" s="13">
        <f>IF(Data!D76="","",Data!D76)</f>
        <v>0</v>
      </c>
    </row>
    <row r="11" spans="1:251" ht="12.75">
      <c r="A11" s="510"/>
      <c r="B11" s="458"/>
      <c r="C11" s="458"/>
      <c r="D11" s="458"/>
      <c r="E11" s="458"/>
      <c r="F11" s="550"/>
      <c r="G11" s="551"/>
      <c r="H11" s="458"/>
      <c r="I11" s="509"/>
      <c r="J11" s="532"/>
      <c r="K11" s="458"/>
      <c r="IQ11" s="13">
        <f>IF(Data!D77="","",Data!D77)</f>
        <v>0</v>
      </c>
    </row>
    <row r="12" spans="1:251" ht="12.75">
      <c r="A12" s="552" t="s">
        <v>99</v>
      </c>
      <c r="B12" s="468"/>
      <c r="C12" s="468"/>
      <c r="D12" s="468"/>
      <c r="E12" s="468"/>
      <c r="F12" s="468"/>
      <c r="G12" s="468"/>
      <c r="H12" s="468"/>
      <c r="I12" s="468"/>
      <c r="J12" s="468"/>
      <c r="K12" s="468"/>
      <c r="IQ12" s="13"/>
    </row>
    <row r="13" spans="1:251" ht="4.5" customHeight="1">
      <c r="A13" s="460"/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O13" s="38" t="s">
        <v>997</v>
      </c>
      <c r="IQ13" s="13"/>
    </row>
    <row r="14" spans="1:251" ht="12.75">
      <c r="A14" s="459" t="s">
        <v>1017</v>
      </c>
      <c r="B14" s="553"/>
      <c r="C14" s="553"/>
      <c r="D14" s="553"/>
      <c r="E14" s="553"/>
      <c r="F14" s="553"/>
      <c r="G14" s="553"/>
      <c r="H14" s="458"/>
      <c r="I14" s="458"/>
      <c r="J14" s="7" t="str">
        <f>Main!J1</f>
        <v>Revised 4/22/16</v>
      </c>
      <c r="K14" s="553"/>
      <c r="O14" s="38" t="s">
        <v>998</v>
      </c>
      <c r="IQ14" s="13"/>
    </row>
    <row r="15" spans="1:251" ht="15.75">
      <c r="A15" s="1027" t="s">
        <v>84</v>
      </c>
      <c r="B15" s="1028"/>
      <c r="C15" s="1028"/>
      <c r="D15" s="1028"/>
      <c r="E15" s="1028"/>
      <c r="F15" s="1028"/>
      <c r="G15" s="1028"/>
      <c r="H15" s="1028"/>
      <c r="I15" s="1028"/>
      <c r="J15" s="1028"/>
      <c r="K15" s="1028"/>
      <c r="IQ15" s="13"/>
    </row>
    <row r="16" spans="1:251" ht="12.75">
      <c r="A16" s="1029" t="s">
        <v>100</v>
      </c>
      <c r="B16" s="1028"/>
      <c r="C16" s="1028"/>
      <c r="D16" s="1028"/>
      <c r="E16" s="1028"/>
      <c r="F16" s="1028"/>
      <c r="G16" s="1028"/>
      <c r="H16" s="1028"/>
      <c r="I16" s="1028"/>
      <c r="J16" s="1028"/>
      <c r="K16" s="1028"/>
      <c r="IQ16" s="13"/>
    </row>
    <row r="17" spans="1:251" ht="12.75">
      <c r="A17" s="1029" t="s">
        <v>101</v>
      </c>
      <c r="B17" s="1028"/>
      <c r="C17" s="1028"/>
      <c r="D17" s="1028"/>
      <c r="E17" s="1028"/>
      <c r="F17" s="1028"/>
      <c r="G17" s="1028"/>
      <c r="H17" s="1028"/>
      <c r="I17" s="1028"/>
      <c r="J17" s="1028"/>
      <c r="K17" s="1028"/>
      <c r="IQ17" s="13"/>
    </row>
    <row r="18" spans="1:251" ht="12.75">
      <c r="A18" s="1032" t="s">
        <v>1090</v>
      </c>
      <c r="B18" s="1028"/>
      <c r="C18" s="1028"/>
      <c r="D18" s="1028"/>
      <c r="E18" s="1028"/>
      <c r="F18" s="1028"/>
      <c r="G18" s="1028"/>
      <c r="H18" s="1028"/>
      <c r="I18" s="1028"/>
      <c r="J18" s="1028"/>
      <c r="K18" s="1028"/>
      <c r="IQ18" s="13"/>
    </row>
    <row r="19" spans="1:251" ht="19.5" customHeight="1">
      <c r="A19" s="461" t="s">
        <v>954</v>
      </c>
      <c r="B19" s="462">
        <f>IF(Input!$B$7="","",Input!$B$7)</f>
      </c>
      <c r="C19" s="463"/>
      <c r="D19" s="1023" t="s">
        <v>106</v>
      </c>
      <c r="E19" s="465">
        <v>1</v>
      </c>
      <c r="F19" s="466">
        <f>IF(Input!$C$64="","",Input!$C$64)</f>
      </c>
      <c r="G19" s="465">
        <v>5</v>
      </c>
      <c r="H19" s="466">
        <f>IF(Input!$E$64="","",Input!$E$64)</f>
      </c>
      <c r="I19" s="467" t="s">
        <v>559</v>
      </c>
      <c r="J19" s="571"/>
      <c r="K19" s="468"/>
      <c r="IQ19" s="13">
        <f>IF(Data!D78="","",Data!D78)</f>
        <v>0</v>
      </c>
    </row>
    <row r="20" spans="1:251" ht="19.5" customHeight="1">
      <c r="A20" s="461" t="s">
        <v>102</v>
      </c>
      <c r="B20" s="462">
        <f>IF(Input!$B$8="","",Input!$B$8)</f>
      </c>
      <c r="C20" s="463"/>
      <c r="D20" s="1024"/>
      <c r="E20" s="465">
        <v>2</v>
      </c>
      <c r="F20" s="466">
        <f>IF(Input!$C$65="","",Input!$C$65)</f>
      </c>
      <c r="G20" s="465">
        <v>6</v>
      </c>
      <c r="H20" s="466">
        <f>IF(Input!$E$65="","",Input!$E$65)</f>
      </c>
      <c r="I20" s="470" t="s">
        <v>50</v>
      </c>
      <c r="J20" s="471">
        <f ca="1">TODAY()</f>
        <v>42480</v>
      </c>
      <c r="K20" s="468"/>
      <c r="IQ20" s="13">
        <f>IF(Data!D79="","",Data!D79)</f>
        <v>0</v>
      </c>
    </row>
    <row r="21" spans="1:251" ht="19.5" customHeight="1">
      <c r="A21" s="461" t="s">
        <v>983</v>
      </c>
      <c r="B21" s="462">
        <f>IF(Input!$B$10="","",Input!$B$10)</f>
      </c>
      <c r="C21" s="463"/>
      <c r="D21" s="1024"/>
      <c r="E21" s="465">
        <v>3</v>
      </c>
      <c r="F21" s="466">
        <f>IF(Input!$C$66="","",Input!$C$66)</f>
      </c>
      <c r="G21" s="465">
        <v>7</v>
      </c>
      <c r="H21" s="466">
        <f>IF(Input!$E$66="","",Input!$E$66)</f>
      </c>
      <c r="I21" s="461" t="s">
        <v>976</v>
      </c>
      <c r="J21" s="472">
        <f>IF(Input!$B$30="","",Input!$B$30)</f>
      </c>
      <c r="K21" s="473"/>
      <c r="IQ21" s="13">
        <f>IF(Data!D80="","",Data!D80)</f>
        <v>0</v>
      </c>
    </row>
    <row r="22" spans="1:251" ht="19.5" customHeight="1">
      <c r="A22" s="461" t="s">
        <v>955</v>
      </c>
      <c r="B22" s="462">
        <f>IF(Input!$E$5="","",Input!$E$5)</f>
      </c>
      <c r="C22" s="463"/>
      <c r="D22" s="1025"/>
      <c r="E22" s="465">
        <v>4</v>
      </c>
      <c r="F22" s="466">
        <f>IF(Input!$C$67="","",Input!$C$67)</f>
      </c>
      <c r="G22" s="465">
        <v>8</v>
      </c>
      <c r="H22" s="466">
        <f>IF(Input!$E$67="","",Input!$E$67)</f>
      </c>
      <c r="I22" s="461" t="s">
        <v>977</v>
      </c>
      <c r="J22" s="472">
        <f>IF(Input!$B$31="","",Input!$B$31)</f>
      </c>
      <c r="K22" s="473"/>
      <c r="IQ22" s="13">
        <f>IF(Data!D81="","",Data!D81)</f>
        <v>0</v>
      </c>
    </row>
    <row r="23" spans="1:251" ht="19.5" customHeight="1">
      <c r="A23" s="475" t="s">
        <v>49</v>
      </c>
      <c r="B23" s="462">
        <f>IF(Input!$E$6="","",Input!$E$6)</f>
      </c>
      <c r="C23" s="463"/>
      <c r="D23" s="461" t="s">
        <v>1253</v>
      </c>
      <c r="E23" s="476">
        <f>IF(Input!$B$68="","",Input!$B$68)</f>
      </c>
      <c r="F23" s="477"/>
      <c r="G23" s="477"/>
      <c r="H23" s="477"/>
      <c r="I23" s="461" t="s">
        <v>972</v>
      </c>
      <c r="J23" s="472">
        <f>IF(Input!$B$32="","",Input!$B$32)</f>
      </c>
      <c r="K23" s="473"/>
      <c r="IQ23" s="13">
        <f>IF(Data!D82="","",Data!D82)</f>
        <v>0</v>
      </c>
    </row>
    <row r="24" spans="1:251" ht="19.5" customHeight="1">
      <c r="A24" s="475" t="s">
        <v>105</v>
      </c>
      <c r="B24" s="462">
        <f>IF(Input!$E$7="","",Input!$E$7)</f>
      </c>
      <c r="C24" s="463"/>
      <c r="D24" s="461" t="s">
        <v>968</v>
      </c>
      <c r="E24" s="476">
        <f>IF('Setup Bm Input'!$A$46="","",'Setup Bm Input'!$A$46)</f>
      </c>
      <c r="F24" s="477"/>
      <c r="G24" s="477"/>
      <c r="H24" s="477"/>
      <c r="I24" s="461" t="s">
        <v>978</v>
      </c>
      <c r="J24" s="472">
        <f>IF(Input!$B$33="","",Input!$B$33)</f>
      </c>
      <c r="K24" s="473"/>
      <c r="IQ24" s="13">
        <f>IF(Data!D83="","",Data!D83)</f>
        <v>0</v>
      </c>
    </row>
    <row r="25" spans="1:251" ht="19.5" customHeight="1">
      <c r="A25" s="475" t="s">
        <v>48</v>
      </c>
      <c r="B25" s="462">
        <f>IF(Input!$E$8="","",Input!$E$8)</f>
      </c>
      <c r="C25" s="463"/>
      <c r="D25" s="477"/>
      <c r="E25" s="477"/>
      <c r="F25" s="477"/>
      <c r="G25" s="477"/>
      <c r="H25" s="477"/>
      <c r="I25" s="461" t="s">
        <v>975</v>
      </c>
      <c r="J25" s="472">
        <f>IF(Input!$B$34="","",Input!$B$34)</f>
      </c>
      <c r="K25" s="473"/>
      <c r="IQ25" s="13">
        <f>IF(Data!D84="","",Data!D84)</f>
        <v>0</v>
      </c>
    </row>
    <row r="26" spans="1:251" ht="19.5" customHeight="1">
      <c r="A26" s="461" t="s">
        <v>981</v>
      </c>
      <c r="B26" s="462">
        <f>IF(Input!$B$37="","",Input!$B$37)</f>
      </c>
      <c r="C26" s="463"/>
      <c r="D26" s="477"/>
      <c r="E26" s="477"/>
      <c r="F26" s="477"/>
      <c r="G26" s="477"/>
      <c r="H26" s="477"/>
      <c r="I26" s="461" t="s">
        <v>979</v>
      </c>
      <c r="J26" s="472">
        <f>IF(Input!$B$35="","",Input!$B$35)</f>
      </c>
      <c r="K26" s="473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IQ26" s="13">
        <f>IF(Data!D86="","",Data!D86)</f>
        <v>0</v>
      </c>
    </row>
    <row r="27" spans="1:251" ht="19.5" customHeight="1">
      <c r="A27" s="461" t="s">
        <v>97</v>
      </c>
      <c r="B27" s="538"/>
      <c r="C27" s="539"/>
      <c r="D27" s="477"/>
      <c r="E27" s="477"/>
      <c r="F27" s="477"/>
      <c r="G27" s="477"/>
      <c r="H27" s="477"/>
      <c r="I27" s="461" t="s">
        <v>980</v>
      </c>
      <c r="J27" s="472">
        <f>IF(Input!$B$36="","",Input!$B$36)</f>
      </c>
      <c r="K27" s="47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IQ27" s="13">
        <f>IF(Data!D87="","",Data!D87)</f>
        <v>0</v>
      </c>
    </row>
    <row r="28" spans="1:251" ht="19.5" customHeight="1">
      <c r="A28" s="461" t="s">
        <v>103</v>
      </c>
      <c r="B28" s="462">
        <f>IF(Input!$B$9="","",Input!$B$9)</f>
      </c>
      <c r="C28" s="463"/>
      <c r="D28" s="477"/>
      <c r="E28" s="477"/>
      <c r="F28" s="477"/>
      <c r="G28" s="477"/>
      <c r="H28" s="477"/>
      <c r="I28" s="478"/>
      <c r="J28" s="479"/>
      <c r="K28" s="48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IQ28" s="13">
        <f>IF(Data!D88="","",Data!D88)</f>
        <v>0</v>
      </c>
    </row>
    <row r="29" spans="1:251" ht="19.5" customHeight="1">
      <c r="A29" s="461" t="s">
        <v>104</v>
      </c>
      <c r="B29" s="481">
        <f>'Setup Bm Input'!$B$34</f>
      </c>
      <c r="C29" s="463">
        <f>IF(Input!$B$6="","",IF(Input!$B$6="E","in.",IF(Input!$B$6="M","mm")))</f>
      </c>
      <c r="D29" s="477"/>
      <c r="E29" s="477"/>
      <c r="F29" s="477"/>
      <c r="G29" s="477"/>
      <c r="H29" s="477"/>
      <c r="I29" s="482"/>
      <c r="J29" s="483"/>
      <c r="K29" s="48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IQ29" s="13">
        <f>IF(Data!D89="","",Data!D89)</f>
        <v>0</v>
      </c>
    </row>
    <row r="30" spans="1:251" ht="19.5" customHeight="1">
      <c r="A30" s="554"/>
      <c r="B30" s="555"/>
      <c r="C30" s="555"/>
      <c r="D30" s="477"/>
      <c r="E30" s="477"/>
      <c r="F30" s="477"/>
      <c r="G30" s="477"/>
      <c r="H30" s="477"/>
      <c r="I30" s="482"/>
      <c r="J30" s="483"/>
      <c r="K30" s="48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IQ30" s="13">
        <f>IF(Data!D90="","",Data!D90)</f>
        <v>0</v>
      </c>
    </row>
    <row r="31" spans="1:251" ht="12.75">
      <c r="A31" s="468"/>
      <c r="B31" s="468"/>
      <c r="C31" s="468"/>
      <c r="D31" s="468"/>
      <c r="E31" s="468"/>
      <c r="F31" s="468"/>
      <c r="G31" s="468"/>
      <c r="H31" s="468"/>
      <c r="I31" s="468"/>
      <c r="J31" s="468"/>
      <c r="K31" s="468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IQ31" s="13">
        <f>IF(Data!D91="","",Data!D91)</f>
        <v>0</v>
      </c>
    </row>
    <row r="32" spans="1:251" ht="12.75">
      <c r="A32" s="1033" t="s">
        <v>107</v>
      </c>
      <c r="B32" s="1034"/>
      <c r="C32" s="1034"/>
      <c r="D32" s="1034"/>
      <c r="E32" s="1034"/>
      <c r="F32" s="1034"/>
      <c r="G32" s="1034"/>
      <c r="H32" s="1034"/>
      <c r="I32" s="1034"/>
      <c r="J32" s="1034"/>
      <c r="K32" s="103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IQ32" s="13">
        <f>IF(Data!D92="","",Data!D92)</f>
        <v>0</v>
      </c>
    </row>
    <row r="33" spans="1:251" ht="15.75">
      <c r="A33" s="468"/>
      <c r="B33" s="459" t="s">
        <v>1035</v>
      </c>
      <c r="C33" s="468"/>
      <c r="D33" s="468"/>
      <c r="E33" s="468"/>
      <c r="F33" s="459" t="s">
        <v>1093</v>
      </c>
      <c r="G33" s="468"/>
      <c r="H33" s="459"/>
      <c r="I33" s="468"/>
      <c r="J33" s="468"/>
      <c r="K33" s="468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IQ33" s="13">
        <f>IF(Data!D93="","",Data!D93)</f>
        <v>0</v>
      </c>
    </row>
    <row r="34" spans="1:251" ht="15.75">
      <c r="A34" s="468"/>
      <c r="B34" s="459" t="s">
        <v>811</v>
      </c>
      <c r="C34" s="458"/>
      <c r="D34" s="468"/>
      <c r="E34" s="468"/>
      <c r="F34" s="459" t="s">
        <v>1038</v>
      </c>
      <c r="G34" s="468"/>
      <c r="H34" s="459"/>
      <c r="I34" s="458"/>
      <c r="J34" s="458"/>
      <c r="K34" s="458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IQ34" s="13">
        <f>IF(Data!D94="","",Data!D94)</f>
        <v>0</v>
      </c>
    </row>
    <row r="35" spans="1:251" ht="15.75">
      <c r="A35" s="468"/>
      <c r="B35" s="459" t="s">
        <v>1036</v>
      </c>
      <c r="C35" s="468"/>
      <c r="D35" s="468"/>
      <c r="E35" s="468"/>
      <c r="F35" s="459" t="s">
        <v>1039</v>
      </c>
      <c r="G35" s="468"/>
      <c r="H35" s="459"/>
      <c r="I35" s="458"/>
      <c r="J35" s="458"/>
      <c r="K35" s="458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IQ35" s="13">
        <f>IF(Data!D95="","",Data!D95)</f>
        <v>0</v>
      </c>
    </row>
    <row r="36" spans="1:251" ht="15.75">
      <c r="A36" s="468"/>
      <c r="B36" s="459" t="s">
        <v>1037</v>
      </c>
      <c r="C36" s="468"/>
      <c r="D36" s="468"/>
      <c r="E36" s="468"/>
      <c r="F36" s="459" t="s">
        <v>1040</v>
      </c>
      <c r="G36" s="468"/>
      <c r="H36" s="459"/>
      <c r="I36" s="458"/>
      <c r="J36" s="458"/>
      <c r="K36" s="458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IQ36" s="13">
        <f>IF(Data!D96="","",Data!D96)</f>
        <v>0</v>
      </c>
    </row>
    <row r="37" spans="1:251" ht="12.75">
      <c r="A37" s="468"/>
      <c r="B37" s="493"/>
      <c r="C37" s="468"/>
      <c r="D37" s="468"/>
      <c r="E37" s="468"/>
      <c r="F37" s="468"/>
      <c r="G37" s="468"/>
      <c r="H37" s="459"/>
      <c r="I37" s="458"/>
      <c r="J37" s="458"/>
      <c r="K37" s="458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IQ37" s="13">
        <f>IF(Data!D97="","",Data!D97)</f>
        <v>0</v>
      </c>
    </row>
    <row r="38" spans="1:251" ht="12.75">
      <c r="A38" s="556"/>
      <c r="B38" s="458"/>
      <c r="C38" s="556"/>
      <c r="D38" s="556"/>
      <c r="E38" s="556"/>
      <c r="F38" s="556"/>
      <c r="G38" s="556"/>
      <c r="H38" s="556"/>
      <c r="I38" s="556"/>
      <c r="J38" s="556"/>
      <c r="K38" s="556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IQ38" s="13">
        <f>IF(Data!D98="","",Data!D98)</f>
        <v>0</v>
      </c>
    </row>
    <row r="39" spans="1:251" ht="12.75">
      <c r="A39" s="1035" t="s">
        <v>1092</v>
      </c>
      <c r="B39" s="1036"/>
      <c r="C39" s="1036"/>
      <c r="D39" s="1036"/>
      <c r="E39" s="1036"/>
      <c r="F39" s="1036"/>
      <c r="G39" s="1036"/>
      <c r="H39" s="1036"/>
      <c r="I39" s="1036"/>
      <c r="J39" s="1036"/>
      <c r="K39" s="1036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IQ39" s="13">
        <f>IF(Data!D99="","",Data!D99)</f>
        <v>0</v>
      </c>
    </row>
    <row r="40" spans="1:251" ht="12.75">
      <c r="A40" s="1030"/>
      <c r="B40" s="1031"/>
      <c r="C40" s="1031"/>
      <c r="D40" s="1031"/>
      <c r="E40" s="1031"/>
      <c r="F40" s="1031"/>
      <c r="G40" s="1031"/>
      <c r="H40" s="1031"/>
      <c r="I40" s="1031"/>
      <c r="J40" s="1031"/>
      <c r="K40" s="103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IQ40" s="13">
        <f>IF(Data!D100="","",Data!D100)</f>
        <v>0</v>
      </c>
    </row>
    <row r="41" spans="1:251" ht="15.75">
      <c r="A41" s="458"/>
      <c r="B41" s="239" t="s">
        <v>1020</v>
      </c>
      <c r="C41" s="320" t="s">
        <v>1030</v>
      </c>
      <c r="D41" s="239" t="s">
        <v>1029</v>
      </c>
      <c r="E41" s="532">
        <f>IF(Input!$B$6="","",IF(Input!$B$6="E","in.",IF(Input!$B$6="M","mm")))</f>
      </c>
      <c r="F41" s="459" t="s">
        <v>1028</v>
      </c>
      <c r="G41" s="320" t="s">
        <v>1033</v>
      </c>
      <c r="H41" s="65" t="s">
        <v>1034</v>
      </c>
      <c r="I41" s="532">
        <f>IF(Input!$B$6="","",IF(Input!$B$6="E","lbs.",IF(Input!$B$6="M","N")))</f>
      </c>
      <c r="J41" s="557"/>
      <c r="K41" s="557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IQ41" s="13">
        <f>IF(Data!D101="","",Data!D101)</f>
        <v>0</v>
      </c>
    </row>
    <row r="42" spans="1:251" ht="12.75">
      <c r="A42" s="458"/>
      <c r="B42" s="477"/>
      <c r="C42" s="458"/>
      <c r="D42" s="239"/>
      <c r="E42" s="557"/>
      <c r="F42" s="65" t="s">
        <v>1003</v>
      </c>
      <c r="G42" s="557"/>
      <c r="H42" s="557"/>
      <c r="I42" s="510"/>
      <c r="J42" s="510"/>
      <c r="K42" s="5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IQ42" s="13">
        <f>IF(Data!D102="","",Data!D102)</f>
        <v>0</v>
      </c>
    </row>
    <row r="43" spans="1:251" ht="12.75">
      <c r="A43" s="458"/>
      <c r="B43" s="239" t="s">
        <v>1021</v>
      </c>
      <c r="C43" s="458"/>
      <c r="D43" s="239"/>
      <c r="E43" s="557"/>
      <c r="F43" s="493" t="s">
        <v>1025</v>
      </c>
      <c r="G43" s="557"/>
      <c r="H43" s="557"/>
      <c r="I43" s="510"/>
      <c r="J43" s="510"/>
      <c r="K43" s="5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IQ43" s="13">
        <f>IF(Data!D103="","",Data!D103)</f>
        <v>0</v>
      </c>
    </row>
    <row r="44" spans="1:251" ht="15.75">
      <c r="A44" s="458"/>
      <c r="B44" s="239" t="s">
        <v>1019</v>
      </c>
      <c r="C44" s="320" t="s">
        <v>1031</v>
      </c>
      <c r="D44" s="239" t="s">
        <v>1032</v>
      </c>
      <c r="E44" s="532">
        <f>IF(Input!$B$6="","",IF(Input!$B$6="E","in.",IF(Input!$B$6="M","mm")))</f>
      </c>
      <c r="F44" s="493"/>
      <c r="G44" s="557"/>
      <c r="H44" s="557"/>
      <c r="I44" s="510"/>
      <c r="J44" s="510"/>
      <c r="K44" s="5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IQ44" s="13">
        <f>IF(Data!D104="","",Data!D104)</f>
        <v>0</v>
      </c>
    </row>
    <row r="45" spans="1:251" ht="12.75">
      <c r="A45" s="458"/>
      <c r="B45" s="239" t="s">
        <v>111</v>
      </c>
      <c r="C45" s="458"/>
      <c r="D45" s="239"/>
      <c r="E45" s="557"/>
      <c r="F45" s="557"/>
      <c r="G45" s="557"/>
      <c r="H45" s="557"/>
      <c r="I45" s="510"/>
      <c r="J45" s="510"/>
      <c r="K45" s="5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IQ45" s="13">
        <f>IF(Data!D105="","",Data!D105)</f>
        <v>0</v>
      </c>
    </row>
    <row r="46" spans="1:251" ht="12.75">
      <c r="A46" s="557"/>
      <c r="B46" s="510"/>
      <c r="C46" s="557"/>
      <c r="D46" s="557"/>
      <c r="E46" s="557"/>
      <c r="F46" s="557"/>
      <c r="G46" s="557"/>
      <c r="H46" s="557"/>
      <c r="I46" s="557"/>
      <c r="J46" s="557"/>
      <c r="K46" s="557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IQ46" s="13">
        <f>IF(Data!D106="","",Data!D106)</f>
        <v>0</v>
      </c>
    </row>
    <row r="47" spans="1:251" ht="15.75">
      <c r="A47" s="458"/>
      <c r="B47" s="320" t="s">
        <v>1053</v>
      </c>
      <c r="C47" s="558">
        <f>IF('Setup Bm Input'!B48="","",'Setup Bm Input'!B48)</f>
      </c>
      <c r="D47" s="458"/>
      <c r="E47" s="559" t="s">
        <v>1055</v>
      </c>
      <c r="F47" s="525">
        <f>'Setup Bm Input'!B34</f>
      </c>
      <c r="G47" s="532">
        <f>IF(Input!$B$6="","",IF(Input!$B$6="E","in.",IF(Input!$B$6="M","mm")))</f>
      </c>
      <c r="H47" s="459"/>
      <c r="I47" s="458"/>
      <c r="J47" s="458"/>
      <c r="K47" s="458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IQ47" s="13">
        <f>IF(Data!D108="","",Data!D108)</f>
        <v>0</v>
      </c>
    </row>
    <row r="48" spans="1:251" ht="12.75">
      <c r="A48" s="458"/>
      <c r="B48" s="458"/>
      <c r="C48" s="458"/>
      <c r="D48" s="458"/>
      <c r="E48" s="458"/>
      <c r="F48" s="458"/>
      <c r="G48" s="458"/>
      <c r="H48" s="458"/>
      <c r="I48" s="458"/>
      <c r="J48" s="458"/>
      <c r="K48" s="458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IQ48" s="13">
        <f>IF(Data!D109="","",Data!D109)</f>
        <v>0</v>
      </c>
    </row>
    <row r="49" spans="1:251" ht="15.75">
      <c r="A49" s="458"/>
      <c r="B49" s="320" t="s">
        <v>1054</v>
      </c>
      <c r="C49" s="560">
        <f>IF($B$8="Yes",$F$9,0)</f>
        <v>0</v>
      </c>
      <c r="D49" s="532">
        <f>IF(Input!$B$6="","",IF(Input!$B$6="E","in.",IF(Input!$B$6="M","mm")))</f>
      </c>
      <c r="E49" s="458"/>
      <c r="F49" s="458"/>
      <c r="G49" s="458"/>
      <c r="H49" s="458"/>
      <c r="I49" s="458"/>
      <c r="J49" s="458"/>
      <c r="K49" s="458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IQ49" s="13">
        <f>IF(Data!D110="","",Data!D110)</f>
        <v>0</v>
      </c>
    </row>
    <row r="50" spans="1:32" ht="12.75">
      <c r="A50" s="458"/>
      <c r="B50" s="458"/>
      <c r="C50" s="458"/>
      <c r="D50" s="458"/>
      <c r="E50" s="458"/>
      <c r="F50" s="458"/>
      <c r="G50" s="458"/>
      <c r="H50" s="458"/>
      <c r="I50" s="458"/>
      <c r="J50" s="458"/>
      <c r="K50" s="458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2.75">
      <c r="A51" s="458"/>
      <c r="B51" s="65"/>
      <c r="C51" s="496"/>
      <c r="D51" s="458"/>
      <c r="E51" s="458"/>
      <c r="F51" s="458"/>
      <c r="G51" s="458"/>
      <c r="H51" s="458"/>
      <c r="I51" s="458"/>
      <c r="J51" s="458"/>
      <c r="K51" s="45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5.75">
      <c r="A52" s="495"/>
      <c r="B52" s="561"/>
      <c r="C52" s="561"/>
      <c r="D52" s="561"/>
      <c r="E52" s="561"/>
      <c r="F52" s="561"/>
      <c r="G52" s="524" t="s">
        <v>1026</v>
      </c>
      <c r="H52" s="524" t="s">
        <v>1027</v>
      </c>
      <c r="I52" s="495"/>
      <c r="J52" s="495"/>
      <c r="K52" s="495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5.75">
      <c r="A53" s="561"/>
      <c r="B53" s="458"/>
      <c r="C53" s="458"/>
      <c r="D53" s="458"/>
      <c r="E53" s="458"/>
      <c r="F53" s="458"/>
      <c r="G53" s="562" t="s">
        <v>1050</v>
      </c>
      <c r="H53" s="563" t="s">
        <v>1007</v>
      </c>
      <c r="I53" s="495"/>
      <c r="J53" s="495"/>
      <c r="K53" s="495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5.75">
      <c r="A54" s="495"/>
      <c r="B54" s="458"/>
      <c r="C54" s="458"/>
      <c r="D54" s="458"/>
      <c r="E54" s="524" t="s">
        <v>1022</v>
      </c>
      <c r="F54" s="524" t="s">
        <v>1023</v>
      </c>
      <c r="G54" s="564" t="s">
        <v>1006</v>
      </c>
      <c r="H54" s="564" t="s">
        <v>1006</v>
      </c>
      <c r="I54" s="561"/>
      <c r="J54" s="561"/>
      <c r="K54" s="56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2.75">
      <c r="A55" s="458"/>
      <c r="B55" s="458"/>
      <c r="C55" s="565" t="s">
        <v>112</v>
      </c>
      <c r="D55" s="525" t="s">
        <v>114</v>
      </c>
      <c r="E55" s="525">
        <f>IF(Input!$B$6="","",IF(Input!$B$6="E","Area (sq. in.)",IF(Input!$B$6="M","Area (sq. mm)")))</f>
      </c>
      <c r="F55" s="566">
        <f>IF(Input!$B$6="","",IF(Input!$B$6="E","Mod. El. (psi)",IF(Input!$B$6="M","Mod. El. (kPA)")))</f>
      </c>
      <c r="G55" s="567">
        <f>IF(Input!$B$6="","",IF(Input!$B$6="E","Strand (in.)",IF(Input!$B$6="M","Strand (mm)")))</f>
      </c>
      <c r="H55" s="564">
        <f>IF(Input!$B$6="","",IF(Input!$B$6="E","Strand (lbs.)",IF(Input!$B$6="M","Strand (N)")))</f>
      </c>
      <c r="I55" s="532"/>
      <c r="J55" s="495"/>
      <c r="K55" s="495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2.75">
      <c r="A56" s="458"/>
      <c r="B56" s="458"/>
      <c r="C56" s="525" t="s">
        <v>90</v>
      </c>
      <c r="D56" s="558">
        <f>IF('Setup Bm Input'!B63="","",'Setup Bm Input'!B63)</f>
      </c>
      <c r="E56" s="558">
        <f>IF('Setup Bm Input'!D63="","",'Setup Bm Input'!D63)</f>
      </c>
      <c r="F56" s="558">
        <f>IF('Setup Bm Input'!E63="","",'Setup Bm Input'!E63)</f>
      </c>
      <c r="G56" s="560">
        <f>IF(E56="","",IF($B$8="Yes",$F$9/$C$47+$F$9/2,""))</f>
      </c>
      <c r="H56" s="569">
        <f>IF(G56="","",IF($B$8="Yes",IF(Input!$B$6="E",G56/'Setup Bm Input'!$B$34*'Anch Move'!F56*'Anch Move'!E56,G56/'Setup Bm Input'!$B$34*'Anch Move'!F56*'Anch Move'!E56/1000),""))</f>
      </c>
      <c r="I56" s="532"/>
      <c r="J56" s="495"/>
      <c r="K56" s="495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2.75">
      <c r="A57" s="458"/>
      <c r="B57" s="458"/>
      <c r="C57" s="525" t="s">
        <v>91</v>
      </c>
      <c r="D57" s="558">
        <f>IF('Setup Bm Input'!B64="","",'Setup Bm Input'!B64)</f>
      </c>
      <c r="E57" s="558">
        <f>IF('Setup Bm Input'!D64="","",'Setup Bm Input'!D64)</f>
      </c>
      <c r="F57" s="558">
        <f>IF('Setup Bm Input'!E64="","",'Setup Bm Input'!E64)</f>
      </c>
      <c r="G57" s="560">
        <f>IF(E57="","",IF($B$8="Yes",$F$9/$C$47+$F$9/2,""))</f>
      </c>
      <c r="H57" s="569">
        <f>IF(G57="","",IF($B$8="Yes",IF(Input!$B$6="E",G57/'Setup Bm Input'!$B$34*'Anch Move'!F57*'Anch Move'!E57,G57/'Setup Bm Input'!$B$34*'Anch Move'!F57*'Anch Move'!E57/1000),""))</f>
      </c>
      <c r="I57" s="495"/>
      <c r="J57" s="495"/>
      <c r="K57" s="495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2.75">
      <c r="A58" s="458"/>
      <c r="B58" s="458"/>
      <c r="C58" s="525" t="s">
        <v>92</v>
      </c>
      <c r="D58" s="558">
        <f>IF('Setup Bm Input'!B65="","",'Setup Bm Input'!B65)</f>
      </c>
      <c r="E58" s="558">
        <f>IF('Setup Bm Input'!D65="","",'Setup Bm Input'!D65)</f>
      </c>
      <c r="F58" s="558">
        <f>IF('Setup Bm Input'!E65="","",'Setup Bm Input'!E65)</f>
      </c>
      <c r="G58" s="560">
        <f>IF(E58="","",IF($B$8="Yes",$F$9/$C$47+$F$9/2,""))</f>
      </c>
      <c r="H58" s="569">
        <f>IF(G58="","",IF($B$8="Yes",IF(Input!$B$6="E",G58/'Setup Bm Input'!$B$34*'Anch Move'!F58*'Anch Move'!E58,G58/'Setup Bm Input'!$B$34*'Anch Move'!F58*'Anch Move'!E58/1000),""))</f>
      </c>
      <c r="I58" s="495"/>
      <c r="J58" s="495"/>
      <c r="K58" s="495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2.75">
      <c r="A59" s="458"/>
      <c r="B59" s="458"/>
      <c r="C59" s="525" t="s">
        <v>93</v>
      </c>
      <c r="D59" s="558">
        <f>IF('Setup Bm Input'!B66="","",'Setup Bm Input'!B66)</f>
      </c>
      <c r="E59" s="558">
        <f>IF('Setup Bm Input'!D66="","",'Setup Bm Input'!D66)</f>
      </c>
      <c r="F59" s="558">
        <f>IF('Setup Bm Input'!E66="","",'Setup Bm Input'!E66)</f>
      </c>
      <c r="G59" s="560">
        <f>IF(E59="","",IF($B$8="Yes",$F$9/$C$47+$F$9/2,""))</f>
      </c>
      <c r="H59" s="569">
        <f>IF(G59="","",IF($B$8="Yes",IF(Input!$B$6="E",G59/'Setup Bm Input'!$B$34*'Anch Move'!F59*'Anch Move'!E59,G59/'Setup Bm Input'!$B$34*'Anch Move'!F59*'Anch Move'!E59/1000),""))</f>
      </c>
      <c r="I59" s="495"/>
      <c r="J59" s="495"/>
      <c r="K59" s="495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2.75">
      <c r="A60" s="458"/>
      <c r="B60" s="458"/>
      <c r="C60" s="458"/>
      <c r="D60" s="458"/>
      <c r="E60" s="458"/>
      <c r="F60" s="458"/>
      <c r="G60" s="458"/>
      <c r="H60" s="458"/>
      <c r="I60" s="495"/>
      <c r="J60" s="495"/>
      <c r="K60" s="495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2.75">
      <c r="A61" s="478" t="s">
        <v>98</v>
      </c>
      <c r="B61" s="540"/>
      <c r="C61" s="541"/>
      <c r="D61" s="541"/>
      <c r="E61" s="541"/>
      <c r="F61" s="541"/>
      <c r="G61" s="541"/>
      <c r="H61" s="541"/>
      <c r="I61" s="541"/>
      <c r="J61" s="541"/>
      <c r="K61" s="54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2.75">
      <c r="A62" s="468"/>
      <c r="B62" s="542"/>
      <c r="C62" s="542"/>
      <c r="D62" s="542"/>
      <c r="E62" s="542"/>
      <c r="F62" s="542"/>
      <c r="G62" s="542"/>
      <c r="H62" s="542"/>
      <c r="I62" s="542"/>
      <c r="J62" s="542"/>
      <c r="K62" s="542"/>
      <c r="L62" s="2"/>
      <c r="M62" s="2"/>
      <c r="N62" s="2"/>
      <c r="O62" s="146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2.75">
      <c r="A63" s="541"/>
      <c r="B63" s="541"/>
      <c r="C63" s="541"/>
      <c r="D63" s="541"/>
      <c r="E63" s="541"/>
      <c r="F63" s="541"/>
      <c r="G63" s="541"/>
      <c r="H63" s="541"/>
      <c r="I63" s="541"/>
      <c r="J63" s="541"/>
      <c r="K63" s="541"/>
      <c r="L63" s="2"/>
      <c r="M63" s="2"/>
      <c r="N63" s="2"/>
      <c r="O63" s="146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2.75">
      <c r="A64" s="468"/>
      <c r="B64" s="468"/>
      <c r="C64" s="468"/>
      <c r="D64" s="468"/>
      <c r="E64" s="468"/>
      <c r="F64" s="468"/>
      <c r="G64" s="468"/>
      <c r="H64" s="468"/>
      <c r="I64" s="468"/>
      <c r="J64" s="468"/>
      <c r="K64" s="468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2.75">
      <c r="A65" s="458"/>
      <c r="B65" s="468"/>
      <c r="C65" s="458"/>
      <c r="D65" s="468"/>
      <c r="E65" s="468"/>
      <c r="F65" s="533" t="s">
        <v>967</v>
      </c>
      <c r="G65" s="534">
        <f>B5</f>
      </c>
      <c r="H65" s="535"/>
      <c r="I65" s="536"/>
      <c r="J65" s="468"/>
      <c r="K65" s="537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2.75">
      <c r="A66" s="3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2:32" ht="12.75"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2:32" ht="12.75"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2:32" ht="12.75"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2:32" ht="12.75"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2.75">
      <c r="A71" s="2"/>
      <c r="B71" s="5"/>
      <c r="C71" s="5"/>
      <c r="D71" s="5"/>
      <c r="E71" s="5"/>
      <c r="F71" s="5"/>
      <c r="G71" s="139"/>
      <c r="H71" s="139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2.75">
      <c r="A72" s="2"/>
      <c r="B72" s="2"/>
      <c r="C72" s="5"/>
      <c r="D72" s="5"/>
      <c r="E72" s="5"/>
      <c r="F72" s="5"/>
      <c r="G72" s="5"/>
      <c r="H72" s="5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2.75">
      <c r="A73" s="2"/>
      <c r="B73" s="5"/>
      <c r="C73" s="138"/>
      <c r="D73" s="138"/>
      <c r="E73" s="138"/>
      <c r="F73" s="138"/>
      <c r="G73" s="138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2.75">
      <c r="A74" s="2"/>
      <c r="B74" s="5"/>
      <c r="C74" s="138"/>
      <c r="D74" s="138"/>
      <c r="E74" s="138"/>
      <c r="F74" s="138"/>
      <c r="G74" s="138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2.75">
      <c r="A75" s="2"/>
      <c r="B75" s="145"/>
      <c r="C75" s="138"/>
      <c r="D75" s="138"/>
      <c r="E75" s="138"/>
      <c r="F75" s="138"/>
      <c r="G75" s="138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2.75">
      <c r="A76" s="2"/>
      <c r="B76" s="5"/>
      <c r="C76" s="138"/>
      <c r="D76" s="138"/>
      <c r="E76" s="138"/>
      <c r="F76" s="138"/>
      <c r="G76" s="138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2.75">
      <c r="A77" s="14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2.75">
      <c r="A78" s="2"/>
      <c r="B78" s="66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2.75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2.75">
      <c r="A81" s="2"/>
      <c r="B81" s="5"/>
      <c r="C81" s="2"/>
      <c r="D81" s="2"/>
      <c r="E81" s="2"/>
      <c r="F81" s="2"/>
      <c r="G81" s="5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2.75">
      <c r="A82" s="2"/>
      <c r="B82" s="139"/>
      <c r="C82" s="5"/>
      <c r="D82" s="139"/>
      <c r="E82" s="5"/>
      <c r="F82" s="139"/>
      <c r="G82" s="139"/>
      <c r="H82" s="5"/>
      <c r="I82" s="139"/>
      <c r="J82" s="5"/>
      <c r="K82" s="139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2.75">
      <c r="A84" s="5"/>
      <c r="B84" s="5"/>
      <c r="C84" s="5"/>
      <c r="D84" s="5"/>
      <c r="E84" s="2"/>
      <c r="F84" s="2"/>
      <c r="G84" s="5"/>
      <c r="H84" s="5"/>
      <c r="I84" s="5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2.75">
      <c r="A85" s="145"/>
      <c r="B85" s="5"/>
      <c r="C85" s="5"/>
      <c r="D85" s="5"/>
      <c r="E85" s="52"/>
      <c r="F85" s="52"/>
      <c r="G85" s="5"/>
      <c r="H85" s="5"/>
      <c r="I85" s="5"/>
      <c r="J85" s="52"/>
      <c r="K85" s="52"/>
      <c r="L85" s="2"/>
      <c r="M85" s="2"/>
      <c r="N85" s="2"/>
      <c r="O85" s="5"/>
      <c r="P85" s="5"/>
      <c r="Q85" s="5"/>
      <c r="R85" s="5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2.75">
      <c r="A86" s="5"/>
      <c r="B86" s="5"/>
      <c r="C86" s="5"/>
      <c r="D86" s="5"/>
      <c r="E86" s="2"/>
      <c r="F86" s="2"/>
      <c r="G86" s="5"/>
      <c r="H86" s="5"/>
      <c r="I86" s="5"/>
      <c r="J86" s="2"/>
      <c r="K86" s="2"/>
      <c r="L86" s="2"/>
      <c r="M86" s="2"/>
      <c r="N86" s="2"/>
      <c r="O86" s="5"/>
      <c r="P86" s="5"/>
      <c r="Q86" s="5"/>
      <c r="R86" s="5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12.75">
      <c r="A87" s="2"/>
      <c r="B87" s="5"/>
      <c r="C87" s="5"/>
      <c r="D87" s="5"/>
      <c r="E87" s="2"/>
      <c r="F87" s="2"/>
      <c r="G87" s="5"/>
      <c r="H87" s="5"/>
      <c r="I87" s="5"/>
      <c r="J87" s="2"/>
      <c r="K87" s="2"/>
      <c r="L87" s="2"/>
      <c r="M87" s="2"/>
      <c r="N87" s="2"/>
      <c r="O87" s="5"/>
      <c r="P87" s="5"/>
      <c r="Q87" s="5"/>
      <c r="R87" s="5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12.75">
      <c r="A88" s="14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47"/>
      <c r="P88" s="147"/>
      <c r="Q88" s="147"/>
      <c r="R88" s="147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5"/>
      <c r="P89" s="5"/>
      <c r="Q89" s="5"/>
      <c r="R89" s="5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5"/>
      <c r="P90" s="5"/>
      <c r="Q90" s="5"/>
      <c r="R90" s="5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15.75">
      <c r="A91" s="15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15.75">
      <c r="A92" s="2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144"/>
      <c r="N93" s="4"/>
      <c r="O93" s="148"/>
      <c r="P93" s="148"/>
      <c r="Q93" s="148"/>
      <c r="R93" s="148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2.75">
      <c r="A94" s="2"/>
      <c r="B94" s="5"/>
      <c r="C94" s="5"/>
      <c r="D94" s="2"/>
      <c r="E94" s="2"/>
      <c r="F94" s="2"/>
      <c r="G94" s="4"/>
      <c r="H94" s="5"/>
      <c r="I94" s="2"/>
      <c r="J94" s="2"/>
      <c r="K94" s="2"/>
      <c r="L94" s="2"/>
      <c r="M94" s="144"/>
      <c r="N94" s="4"/>
      <c r="O94" s="5"/>
      <c r="P94" s="5"/>
      <c r="Q94" s="5"/>
      <c r="R94" s="5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12.75">
      <c r="A95" s="2"/>
      <c r="B95" s="2"/>
      <c r="C95" s="139"/>
      <c r="D95" s="5"/>
      <c r="E95" s="139"/>
      <c r="F95" s="5"/>
      <c r="G95" s="139"/>
      <c r="H95" s="139"/>
      <c r="I95" s="5"/>
      <c r="J95" s="2"/>
      <c r="K95" s="2"/>
      <c r="L95" s="2"/>
      <c r="M95" s="2"/>
      <c r="N95" s="4"/>
      <c r="O95" s="147"/>
      <c r="P95" s="147"/>
      <c r="Q95" s="147"/>
      <c r="R95" s="147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2.75">
      <c r="A96" s="2"/>
      <c r="B96" s="2"/>
      <c r="C96" s="5"/>
      <c r="D96" s="5"/>
      <c r="E96" s="5"/>
      <c r="F96" s="5"/>
      <c r="G96" s="5"/>
      <c r="H96" s="5"/>
      <c r="I96" s="5"/>
      <c r="J96" s="5"/>
      <c r="K96" s="139"/>
      <c r="L96" s="2"/>
      <c r="M96" s="2"/>
      <c r="N96" s="4"/>
      <c r="O96" s="5"/>
      <c r="P96" s="5"/>
      <c r="Q96" s="5"/>
      <c r="R96" s="5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2.75">
      <c r="A97" s="2"/>
      <c r="B97" s="5"/>
      <c r="C97" s="5"/>
      <c r="D97" s="5"/>
      <c r="E97" s="5"/>
      <c r="F97" s="2"/>
      <c r="G97" s="2"/>
      <c r="H97" s="5"/>
      <c r="I97" s="5"/>
      <c r="J97" s="5"/>
      <c r="K97" s="5"/>
      <c r="L97" s="2"/>
      <c r="M97" s="2"/>
      <c r="N97" s="2"/>
      <c r="O97" s="5"/>
      <c r="P97" s="5"/>
      <c r="Q97" s="5"/>
      <c r="R97" s="5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2.75">
      <c r="A98" s="2"/>
      <c r="B98" s="5"/>
      <c r="C98" s="5"/>
      <c r="D98" s="5"/>
      <c r="E98" s="5"/>
      <c r="F98" s="52"/>
      <c r="G98" s="52"/>
      <c r="H98" s="5"/>
      <c r="I98" s="5"/>
      <c r="J98" s="2"/>
      <c r="K98" s="2"/>
      <c r="L98" s="2"/>
      <c r="M98" s="2"/>
      <c r="N98" s="4"/>
      <c r="O98" s="148"/>
      <c r="P98" s="148"/>
      <c r="Q98" s="148"/>
      <c r="R98" s="148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2.75">
      <c r="A99" s="2"/>
      <c r="B99" s="145"/>
      <c r="C99" s="5"/>
      <c r="D99" s="5"/>
      <c r="E99" s="5"/>
      <c r="F99" s="2"/>
      <c r="G99" s="2"/>
      <c r="H99" s="5"/>
      <c r="I99" s="5"/>
      <c r="J99" s="52"/>
      <c r="K99" s="52"/>
      <c r="L99" s="2"/>
      <c r="M99" s="2"/>
      <c r="N99" s="4"/>
      <c r="O99" s="139"/>
      <c r="P99" s="139"/>
      <c r="Q99" s="139"/>
      <c r="R99" s="139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2.75">
      <c r="A100" s="2"/>
      <c r="B100" s="5"/>
      <c r="C100" s="5"/>
      <c r="D100" s="5"/>
      <c r="E100" s="5"/>
      <c r="F100" s="2"/>
      <c r="G100" s="2"/>
      <c r="H100" s="5"/>
      <c r="I100" s="5"/>
      <c r="J100" s="2"/>
      <c r="K100" s="2"/>
      <c r="L100" s="2"/>
      <c r="M100" s="2"/>
      <c r="N100" s="4"/>
      <c r="O100" s="147"/>
      <c r="P100" s="147"/>
      <c r="Q100" s="147"/>
      <c r="R100" s="147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4"/>
      <c r="O101" s="5"/>
      <c r="P101" s="5"/>
      <c r="Q101" s="5"/>
      <c r="R101" s="5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12.75">
      <c r="A102" s="2"/>
      <c r="B102" s="14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5"/>
      <c r="P102" s="5"/>
      <c r="Q102" s="5"/>
      <c r="R102" s="5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12.75">
      <c r="A107" s="14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12.75">
      <c r="A108" s="2"/>
      <c r="B108" s="149"/>
      <c r="C108" s="150"/>
      <c r="D108" s="150"/>
      <c r="E108" s="150"/>
      <c r="F108" s="150"/>
      <c r="G108" s="150"/>
      <c r="H108" s="150"/>
      <c r="I108" s="150"/>
      <c r="J108" s="150"/>
      <c r="K108" s="150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12.75">
      <c r="A109" s="149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12.75">
      <c r="A110" s="2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12.75">
      <c r="A111" s="54"/>
      <c r="B111" s="2"/>
      <c r="C111" s="2"/>
      <c r="D111" s="2"/>
      <c r="E111" s="2"/>
      <c r="F111" s="2"/>
      <c r="G111" s="2"/>
      <c r="H111" s="14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12.75">
      <c r="A112" s="54"/>
      <c r="B112" s="54"/>
      <c r="C112" s="54"/>
      <c r="D112" s="151"/>
      <c r="E112" s="54"/>
      <c r="F112" s="54"/>
      <c r="G112" s="54"/>
      <c r="H112" s="54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12.75">
      <c r="A113" s="151"/>
      <c r="B113" s="54"/>
      <c r="C113" s="54"/>
      <c r="D113" s="54"/>
      <c r="E113" s="54"/>
      <c r="F113" s="54"/>
      <c r="G113" s="54"/>
      <c r="H113" s="5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12.75">
      <c r="A114" s="152"/>
      <c r="B114" s="151"/>
      <c r="C114" s="151"/>
      <c r="D114" s="151"/>
      <c r="E114" s="151"/>
      <c r="F114" s="151"/>
      <c r="G114" s="151"/>
      <c r="H114" s="5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2:32" ht="12.75">
      <c r="B115" s="152"/>
      <c r="C115" s="152"/>
      <c r="D115" s="152"/>
      <c r="E115" s="152"/>
      <c r="F115" s="153"/>
      <c r="G115" s="153"/>
      <c r="H115" s="15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</sheetData>
  <sheetProtection sheet="1"/>
  <mergeCells count="9">
    <mergeCell ref="A1:C1"/>
    <mergeCell ref="A40:K40"/>
    <mergeCell ref="A15:K15"/>
    <mergeCell ref="A16:K16"/>
    <mergeCell ref="A17:K17"/>
    <mergeCell ref="A18:K18"/>
    <mergeCell ref="D19:D22"/>
    <mergeCell ref="A32:K32"/>
    <mergeCell ref="A39:K39"/>
  </mergeCells>
  <printOptions horizontalCentered="1"/>
  <pageMargins left="0.5" right="0.5" top="0.5" bottom="0.5" header="0" footer="0"/>
  <pageSetup fitToHeight="1" fitToWidth="1" horizontalDpi="600" verticalDpi="600" orientation="portrait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Q116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5.140625" style="0" customWidth="1"/>
    <col min="2" max="2" width="13.8515625" style="0" customWidth="1"/>
    <col min="3" max="3" width="13.421875" style="0" customWidth="1"/>
    <col min="4" max="4" width="14.57421875" style="0" customWidth="1"/>
    <col min="5" max="5" width="13.7109375" style="0" customWidth="1"/>
    <col min="6" max="6" width="14.28125" style="0" customWidth="1"/>
    <col min="7" max="7" width="12.57421875" style="0" customWidth="1"/>
    <col min="8" max="8" width="13.421875" style="0" customWidth="1"/>
    <col min="9" max="9" width="12.8515625" style="0" customWidth="1"/>
    <col min="10" max="10" width="10.7109375" style="0" customWidth="1"/>
  </cols>
  <sheetData>
    <row r="1" spans="1:251" ht="12.75">
      <c r="A1" s="1020" t="s">
        <v>835</v>
      </c>
      <c r="B1" s="1026"/>
      <c r="C1" s="1026"/>
      <c r="D1" s="458"/>
      <c r="E1" s="458"/>
      <c r="F1" s="458"/>
      <c r="G1" s="458"/>
      <c r="H1" s="458"/>
      <c r="I1" s="458"/>
      <c r="J1" s="458"/>
      <c r="K1" s="458"/>
      <c r="IQ1" t="s">
        <v>992</v>
      </c>
    </row>
    <row r="2" spans="1:251" ht="12.75">
      <c r="A2" s="543"/>
      <c r="B2" s="458"/>
      <c r="C2" s="458"/>
      <c r="D2" s="458"/>
      <c r="E2" s="458"/>
      <c r="F2" s="458"/>
      <c r="G2" s="458"/>
      <c r="H2" s="458"/>
      <c r="I2" s="458"/>
      <c r="J2" s="458"/>
      <c r="K2" s="458"/>
      <c r="IQ2" s="13">
        <f>IF(Data!D71="","",Data!D71)</f>
        <v>0</v>
      </c>
    </row>
    <row r="3" spans="1:251" ht="15.75">
      <c r="A3" s="484" t="s">
        <v>772</v>
      </c>
      <c r="B3" s="458"/>
      <c r="C3" s="458"/>
      <c r="D3" s="458"/>
      <c r="E3" s="458"/>
      <c r="F3" s="458"/>
      <c r="G3" s="458"/>
      <c r="H3" s="458"/>
      <c r="I3" s="544"/>
      <c r="J3" s="458"/>
      <c r="K3" s="458"/>
      <c r="O3" s="4"/>
      <c r="IQ3" s="13">
        <f>IF(Data!D72="","",Data!D72)</f>
        <v>0</v>
      </c>
    </row>
    <row r="4" spans="1:251" ht="12.75">
      <c r="A4" s="458"/>
      <c r="B4" s="458"/>
      <c r="C4" s="458"/>
      <c r="D4" s="458"/>
      <c r="I4" s="509"/>
      <c r="J4" s="532"/>
      <c r="K4" s="458"/>
      <c r="O4" s="4"/>
      <c r="IQ4" s="13"/>
    </row>
    <row r="5" spans="1:251" ht="15.75">
      <c r="A5" s="458" t="s">
        <v>967</v>
      </c>
      <c r="B5" s="489">
        <f>IF(Input!E14="","",Input!E14)</f>
      </c>
      <c r="C5" s="490"/>
      <c r="D5" s="961" t="s">
        <v>1233</v>
      </c>
      <c r="G5" s="961" t="s">
        <v>1234</v>
      </c>
      <c r="H5" s="962"/>
      <c r="I5" s="532">
        <f>IF(Input!$B$6="","",IF(Input!$B$6="E","in.",IF(Input!$B$6="M","mm")))</f>
      </c>
      <c r="J5" s="458"/>
      <c r="K5" s="458"/>
      <c r="O5" s="4"/>
      <c r="IQ5" s="13"/>
    </row>
    <row r="6" spans="1:251" ht="15.75">
      <c r="A6" s="546"/>
      <c r="B6" s="499"/>
      <c r="C6" s="488"/>
      <c r="D6" s="961" t="s">
        <v>1235</v>
      </c>
      <c r="E6" s="570"/>
      <c r="F6" s="510"/>
      <c r="G6" s="961" t="s">
        <v>1236</v>
      </c>
      <c r="H6" s="963"/>
      <c r="I6" s="532">
        <f>IF(Input!$B$6="","",IF(Input!$B$6="E","psi",IF(Input!$B$6="M","kPA")))</f>
      </c>
      <c r="J6" s="458"/>
      <c r="K6" s="458"/>
      <c r="O6" s="4"/>
      <c r="IQ6" s="13"/>
    </row>
    <row r="7" spans="1:251" ht="15.75">
      <c r="A7" s="547" t="s">
        <v>773</v>
      </c>
      <c r="B7" s="487"/>
      <c r="C7" s="458"/>
      <c r="D7" s="320" t="s">
        <v>1237</v>
      </c>
      <c r="G7" s="961" t="s">
        <v>1238</v>
      </c>
      <c r="H7" s="963"/>
      <c r="I7" s="532">
        <f>IF(Input!$B$6="","",IF(Input!$B$6="E","sq. in.",IF(Input!$B$6="M","sq. mm")))</f>
      </c>
      <c r="J7" s="532"/>
      <c r="K7" s="458"/>
      <c r="O7" s="4"/>
      <c r="IQ7" s="13">
        <f>IF(Data!D73="","",Data!D73)</f>
        <v>0</v>
      </c>
    </row>
    <row r="8" spans="1:251" ht="15.75">
      <c r="A8" s="491" t="s">
        <v>1041</v>
      </c>
      <c r="B8" s="476">
        <f>'Setup Bm Input'!F34</f>
        <v>0</v>
      </c>
      <c r="C8" s="458"/>
      <c r="D8" s="320" t="s">
        <v>1042</v>
      </c>
      <c r="E8" s="964">
        <f>IF(E6="","",E6*(H8/H7)*(H5/H6))</f>
      </c>
      <c r="F8" s="532">
        <f>IF(Input!$B$6="","",IF(Input!$B$6="E","in.",IF(Input!$B$6="M","mm")))</f>
      </c>
      <c r="G8" s="961" t="s">
        <v>1239</v>
      </c>
      <c r="H8" s="965">
        <f>'Setup Bm Input'!$B$29*'Setup Bm Input'!$B$48</f>
        <v>0</v>
      </c>
      <c r="I8" s="532">
        <f>IF(Input!$B$6="","",IF(Input!$B$6="E","lbs.",IF(Input!$B$6="M","N")))</f>
      </c>
      <c r="J8" s="458"/>
      <c r="K8" s="458"/>
      <c r="IQ8" s="13">
        <f>IF(Data!D74="","",Data!D74)</f>
        <v>0</v>
      </c>
    </row>
    <row r="9" spans="1:251" ht="12.75">
      <c r="A9" s="548" t="s">
        <v>1003</v>
      </c>
      <c r="B9" s="508"/>
      <c r="C9" s="458"/>
      <c r="J9" s="532"/>
      <c r="K9" s="458"/>
      <c r="IQ9" s="13">
        <f>IF(Data!D75="","",Data!D75)</f>
        <v>0</v>
      </c>
    </row>
    <row r="10" spans="1:251" ht="15.75">
      <c r="A10" s="458"/>
      <c r="C10" s="551" t="s">
        <v>1240</v>
      </c>
      <c r="D10" s="458"/>
      <c r="H10" s="458"/>
      <c r="I10" s="458"/>
      <c r="J10" s="458"/>
      <c r="K10" s="458"/>
      <c r="IQ10" s="13">
        <f>IF(Data!D76="","",Data!D76)</f>
        <v>0</v>
      </c>
    </row>
    <row r="11" spans="1:251" ht="15.75">
      <c r="A11" s="510"/>
      <c r="C11" s="493" t="s">
        <v>1241</v>
      </c>
      <c r="D11" s="458"/>
      <c r="E11" s="458"/>
      <c r="F11" s="459" t="s">
        <v>1242</v>
      </c>
      <c r="G11" s="550"/>
      <c r="H11" s="551"/>
      <c r="I11" s="458"/>
      <c r="J11" s="532"/>
      <c r="K11" s="458"/>
      <c r="IQ11" s="13">
        <f>IF(Data!D77="","",Data!D77)</f>
        <v>0</v>
      </c>
    </row>
    <row r="12" spans="1:251" ht="15.75">
      <c r="A12" s="552" t="s">
        <v>99</v>
      </c>
      <c r="C12" s="459" t="s">
        <v>1243</v>
      </c>
      <c r="D12" s="468"/>
      <c r="E12" s="468"/>
      <c r="F12" s="65" t="s">
        <v>1244</v>
      </c>
      <c r="G12" s="468"/>
      <c r="H12" s="468"/>
      <c r="I12" s="468"/>
      <c r="J12" s="468"/>
      <c r="K12" s="468"/>
      <c r="IQ12" s="13"/>
    </row>
    <row r="13" spans="1:251" ht="4.5" customHeight="1">
      <c r="A13" s="460"/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O13" s="38" t="s">
        <v>997</v>
      </c>
      <c r="IQ13" s="13"/>
    </row>
    <row r="14" spans="1:251" ht="12.75">
      <c r="A14" s="459" t="s">
        <v>774</v>
      </c>
      <c r="B14" s="553"/>
      <c r="C14" s="553"/>
      <c r="D14" s="553"/>
      <c r="E14" s="553"/>
      <c r="F14" s="553"/>
      <c r="G14" s="553"/>
      <c r="H14" s="553"/>
      <c r="I14" s="553"/>
      <c r="J14" s="7" t="str">
        <f>Main!J1</f>
        <v>Revised 4/22/16</v>
      </c>
      <c r="K14" s="553"/>
      <c r="O14" s="38" t="s">
        <v>998</v>
      </c>
      <c r="IQ14" s="13"/>
    </row>
    <row r="15" spans="1:251" ht="15.75">
      <c r="A15" s="1027" t="s">
        <v>84</v>
      </c>
      <c r="B15" s="1028"/>
      <c r="C15" s="1028"/>
      <c r="D15" s="1028"/>
      <c r="E15" s="1028"/>
      <c r="F15" s="1028"/>
      <c r="G15" s="1028"/>
      <c r="H15" s="1028"/>
      <c r="I15" s="1028"/>
      <c r="J15" s="1028"/>
      <c r="K15" s="1028"/>
      <c r="IQ15" s="13"/>
    </row>
    <row r="16" spans="1:251" ht="12.75">
      <c r="A16" s="1029" t="s">
        <v>100</v>
      </c>
      <c r="B16" s="1028"/>
      <c r="C16" s="1028"/>
      <c r="D16" s="1028"/>
      <c r="E16" s="1028"/>
      <c r="F16" s="1028"/>
      <c r="G16" s="1028"/>
      <c r="H16" s="1028"/>
      <c r="I16" s="1028"/>
      <c r="J16" s="1028"/>
      <c r="K16" s="1028"/>
      <c r="IQ16" s="13"/>
    </row>
    <row r="17" spans="1:251" ht="12.75">
      <c r="A17" s="1029" t="s">
        <v>101</v>
      </c>
      <c r="B17" s="1028"/>
      <c r="C17" s="1028"/>
      <c r="D17" s="1028"/>
      <c r="E17" s="1028"/>
      <c r="F17" s="1028"/>
      <c r="G17" s="1028"/>
      <c r="H17" s="1028"/>
      <c r="I17" s="1028"/>
      <c r="J17" s="1028"/>
      <c r="K17" s="1028"/>
      <c r="IQ17" s="13"/>
    </row>
    <row r="18" spans="1:251" ht="12.75">
      <c r="A18" s="1032" t="s">
        <v>787</v>
      </c>
      <c r="B18" s="1028"/>
      <c r="C18" s="1028"/>
      <c r="D18" s="1028"/>
      <c r="E18" s="1028"/>
      <c r="F18" s="1028"/>
      <c r="G18" s="1028"/>
      <c r="H18" s="1028"/>
      <c r="I18" s="1028"/>
      <c r="J18" s="1028"/>
      <c r="K18" s="1028"/>
      <c r="IQ18" s="13"/>
    </row>
    <row r="19" spans="1:251" ht="19.5" customHeight="1">
      <c r="A19" s="461" t="s">
        <v>954</v>
      </c>
      <c r="B19" s="462">
        <f>IF(Input!$B$7="","",Input!$B$7)</f>
      </c>
      <c r="C19" s="463"/>
      <c r="D19" s="1023" t="s">
        <v>106</v>
      </c>
      <c r="E19" s="465">
        <v>1</v>
      </c>
      <c r="F19" s="466">
        <f>IF(Input!$C$64="","",Input!$C$64)</f>
      </c>
      <c r="G19" s="465">
        <v>5</v>
      </c>
      <c r="H19" s="466">
        <f>IF(Input!$E$64="","",Input!$E$64)</f>
      </c>
      <c r="I19" s="467" t="s">
        <v>559</v>
      </c>
      <c r="J19" s="571"/>
      <c r="K19" s="468"/>
      <c r="IQ19" s="13">
        <f>IF(Data!D78="","",Data!D78)</f>
        <v>0</v>
      </c>
    </row>
    <row r="20" spans="1:251" ht="19.5" customHeight="1">
      <c r="A20" s="461" t="s">
        <v>102</v>
      </c>
      <c r="B20" s="462">
        <f>IF(Input!$B$8="","",Input!$B$8)</f>
      </c>
      <c r="C20" s="463"/>
      <c r="D20" s="1024"/>
      <c r="E20" s="465">
        <v>2</v>
      </c>
      <c r="F20" s="466">
        <f>IF(Input!$C$65="","",Input!$C$65)</f>
      </c>
      <c r="G20" s="465">
        <v>6</v>
      </c>
      <c r="H20" s="466">
        <f>IF(Input!$E$65="","",Input!$E$65)</f>
      </c>
      <c r="I20" s="470" t="s">
        <v>50</v>
      </c>
      <c r="J20" s="471">
        <f ca="1">TODAY()</f>
        <v>42480</v>
      </c>
      <c r="K20" s="468"/>
      <c r="IQ20" s="13">
        <f>IF(Data!D79="","",Data!D79)</f>
        <v>0</v>
      </c>
    </row>
    <row r="21" spans="1:251" ht="19.5" customHeight="1">
      <c r="A21" s="461" t="s">
        <v>983</v>
      </c>
      <c r="B21" s="462">
        <f>IF(Input!$B$10="","",Input!$B$10)</f>
      </c>
      <c r="C21" s="463"/>
      <c r="D21" s="1024"/>
      <c r="E21" s="465">
        <v>3</v>
      </c>
      <c r="F21" s="466">
        <f>IF(Input!$C$66="","",Input!$C$66)</f>
      </c>
      <c r="G21" s="465">
        <v>7</v>
      </c>
      <c r="H21" s="466">
        <f>IF(Input!$E$66="","",Input!$E$66)</f>
      </c>
      <c r="I21" s="461" t="s">
        <v>976</v>
      </c>
      <c r="J21" s="472">
        <f>IF(Input!$B$30="","",Input!$B$30)</f>
      </c>
      <c r="K21" s="473"/>
      <c r="IQ21" s="13">
        <f>IF(Data!D80="","",Data!D80)</f>
        <v>0</v>
      </c>
    </row>
    <row r="22" spans="1:251" ht="19.5" customHeight="1">
      <c r="A22" s="461" t="s">
        <v>955</v>
      </c>
      <c r="B22" s="462">
        <f>IF(Input!$E$5="","",Input!$E$5)</f>
      </c>
      <c r="C22" s="463"/>
      <c r="D22" s="1025"/>
      <c r="E22" s="465">
        <v>4</v>
      </c>
      <c r="F22" s="466">
        <f>IF(Input!$C$67="","",Input!$C$67)</f>
      </c>
      <c r="G22" s="465">
        <v>8</v>
      </c>
      <c r="H22" s="466">
        <f>IF(Input!$E$67="","",Input!$E$67)</f>
      </c>
      <c r="I22" s="461" t="s">
        <v>977</v>
      </c>
      <c r="J22" s="472">
        <f>IF(Input!$B$31="","",Input!$B$31)</f>
      </c>
      <c r="K22" s="473"/>
      <c r="IQ22" s="13">
        <f>IF(Data!D81="","",Data!D81)</f>
        <v>0</v>
      </c>
    </row>
    <row r="23" spans="1:251" ht="19.5" customHeight="1">
      <c r="A23" s="475" t="s">
        <v>49</v>
      </c>
      <c r="B23" s="462">
        <f>IF(Input!$E$6="","",Input!$E$6)</f>
      </c>
      <c r="C23" s="463"/>
      <c r="D23" s="461" t="s">
        <v>1253</v>
      </c>
      <c r="E23" s="476">
        <f>IF(Input!$B$68="","",Input!$B$68)</f>
      </c>
      <c r="F23" s="477"/>
      <c r="G23" s="477"/>
      <c r="H23" s="477"/>
      <c r="I23" s="461" t="s">
        <v>972</v>
      </c>
      <c r="J23" s="472">
        <f>IF(Input!$B$32="","",Input!$B$32)</f>
      </c>
      <c r="K23" s="473"/>
      <c r="IQ23" s="13">
        <f>IF(Data!D82="","",Data!D82)</f>
        <v>0</v>
      </c>
    </row>
    <row r="24" spans="1:251" ht="19.5" customHeight="1">
      <c r="A24" s="475" t="s">
        <v>105</v>
      </c>
      <c r="B24" s="462">
        <f>IF(Input!$E$7="","",Input!$E$7)</f>
      </c>
      <c r="C24" s="463"/>
      <c r="D24" s="461" t="s">
        <v>968</v>
      </c>
      <c r="E24" s="476">
        <f>IF('Setup Bm Input'!$A$46="","",'Setup Bm Input'!$A$46)</f>
      </c>
      <c r="F24" s="477"/>
      <c r="G24" s="477"/>
      <c r="H24" s="477"/>
      <c r="I24" s="461" t="s">
        <v>978</v>
      </c>
      <c r="J24" s="472">
        <f>IF(Input!$B$33="","",Input!$B$33)</f>
      </c>
      <c r="K24" s="473"/>
      <c r="IQ24" s="13">
        <f>IF(Data!D83="","",Data!D83)</f>
        <v>0</v>
      </c>
    </row>
    <row r="25" spans="1:251" ht="19.5" customHeight="1">
      <c r="A25" s="475" t="s">
        <v>48</v>
      </c>
      <c r="B25" s="462">
        <f>IF(Input!$E$8="","",Input!$E$8)</f>
      </c>
      <c r="C25" s="463"/>
      <c r="D25" s="477"/>
      <c r="E25" s="477"/>
      <c r="F25" s="477"/>
      <c r="G25" s="477"/>
      <c r="H25" s="477"/>
      <c r="I25" s="461" t="s">
        <v>975</v>
      </c>
      <c r="J25" s="472">
        <f>IF(Input!$B$34="","",Input!$B$34)</f>
      </c>
      <c r="K25" s="473"/>
      <c r="IQ25" s="13">
        <f>IF(Data!D84="","",Data!D84)</f>
        <v>0</v>
      </c>
    </row>
    <row r="26" spans="1:251" ht="19.5" customHeight="1">
      <c r="A26" s="461" t="s">
        <v>981</v>
      </c>
      <c r="B26" s="462">
        <f>IF(Input!$B$37="","",Input!$B$37)</f>
      </c>
      <c r="C26" s="463"/>
      <c r="D26" s="477"/>
      <c r="E26" s="477"/>
      <c r="F26" s="477"/>
      <c r="G26" s="477"/>
      <c r="H26" s="477"/>
      <c r="I26" s="461" t="s">
        <v>979</v>
      </c>
      <c r="J26" s="472">
        <f>IF(Input!$B$35="","",Input!$B$35)</f>
      </c>
      <c r="K26" s="473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IQ26" s="13">
        <f>IF(Data!D86="","",Data!D86)</f>
        <v>0</v>
      </c>
    </row>
    <row r="27" spans="1:251" ht="19.5" customHeight="1">
      <c r="A27" s="461" t="s">
        <v>97</v>
      </c>
      <c r="B27" s="538"/>
      <c r="C27" s="539"/>
      <c r="D27" s="477"/>
      <c r="E27" s="477"/>
      <c r="F27" s="477"/>
      <c r="G27" s="477"/>
      <c r="H27" s="477"/>
      <c r="I27" s="461" t="s">
        <v>980</v>
      </c>
      <c r="J27" s="472">
        <f>IF(Input!$B$36="","",Input!$B$36)</f>
      </c>
      <c r="K27" s="47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IQ27" s="13">
        <f>IF(Data!D87="","",Data!D87)</f>
        <v>0</v>
      </c>
    </row>
    <row r="28" spans="1:251" ht="19.5" customHeight="1">
      <c r="A28" s="461" t="s">
        <v>103</v>
      </c>
      <c r="B28" s="462">
        <f>IF(Input!$B$9="","",Input!$B$9)</f>
      </c>
      <c r="C28" s="463"/>
      <c r="D28" s="477"/>
      <c r="E28" s="477"/>
      <c r="F28" s="477"/>
      <c r="G28" s="477"/>
      <c r="H28" s="477"/>
      <c r="I28" s="478"/>
      <c r="J28" s="479"/>
      <c r="K28" s="48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IQ28" s="13">
        <f>IF(Data!D88="","",Data!D88)</f>
        <v>0</v>
      </c>
    </row>
    <row r="29" spans="1:251" ht="19.5" customHeight="1">
      <c r="A29" s="461" t="s">
        <v>104</v>
      </c>
      <c r="B29" s="481">
        <f>'Setup Bm Input'!$B$34</f>
      </c>
      <c r="C29" s="463">
        <f>IF(Input!$B$6="","",IF(Input!$B$6="E","in.",IF(Input!$B$6="M","mm")))</f>
      </c>
      <c r="D29" s="477"/>
      <c r="E29" s="477"/>
      <c r="F29" s="477"/>
      <c r="G29" s="477"/>
      <c r="H29" s="477"/>
      <c r="I29" s="482"/>
      <c r="J29" s="483"/>
      <c r="K29" s="48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IQ29" s="13">
        <f>IF(Data!D89="","",Data!D89)</f>
        <v>0</v>
      </c>
    </row>
    <row r="30" spans="1:251" ht="19.5" customHeight="1">
      <c r="A30" s="554"/>
      <c r="B30" s="555"/>
      <c r="C30" s="555"/>
      <c r="D30" s="477"/>
      <c r="E30" s="477"/>
      <c r="F30" s="477"/>
      <c r="G30" s="477"/>
      <c r="H30" s="477"/>
      <c r="I30" s="482"/>
      <c r="J30" s="483"/>
      <c r="K30" s="48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IQ30" s="13">
        <f>IF(Data!D90="","",Data!D90)</f>
        <v>0</v>
      </c>
    </row>
    <row r="31" spans="1:251" ht="12.75">
      <c r="A31" s="468"/>
      <c r="B31" s="468"/>
      <c r="C31" s="468"/>
      <c r="D31" s="468"/>
      <c r="E31" s="468"/>
      <c r="F31" s="468"/>
      <c r="G31" s="468"/>
      <c r="H31" s="468"/>
      <c r="I31" s="468"/>
      <c r="J31" s="468"/>
      <c r="K31" s="468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IQ31" s="13">
        <f>IF(Data!D91="","",Data!D91)</f>
        <v>0</v>
      </c>
    </row>
    <row r="32" spans="1:251" ht="12.75">
      <c r="A32" s="1033" t="s">
        <v>107</v>
      </c>
      <c r="B32" s="1034"/>
      <c r="C32" s="1034"/>
      <c r="D32" s="1034"/>
      <c r="E32" s="1034"/>
      <c r="F32" s="1034"/>
      <c r="G32" s="1034"/>
      <c r="H32" s="1034"/>
      <c r="I32" s="1034"/>
      <c r="J32" s="1034"/>
      <c r="K32" s="103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IQ32" s="13">
        <f>IF(Data!D92="","",Data!D92)</f>
        <v>0</v>
      </c>
    </row>
    <row r="33" spans="1:251" ht="15.75">
      <c r="A33" s="468"/>
      <c r="B33" s="459" t="s">
        <v>781</v>
      </c>
      <c r="C33" s="468"/>
      <c r="D33" s="468"/>
      <c r="E33" s="468"/>
      <c r="F33" s="459" t="s">
        <v>783</v>
      </c>
      <c r="G33" s="468"/>
      <c r="H33" s="459"/>
      <c r="I33" s="468"/>
      <c r="J33" s="468"/>
      <c r="K33" s="468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IQ33" s="13">
        <f>IF(Data!D93="","",Data!D93)</f>
        <v>0</v>
      </c>
    </row>
    <row r="34" spans="1:251" ht="15.75">
      <c r="A34" s="468"/>
      <c r="B34" s="459" t="s">
        <v>782</v>
      </c>
      <c r="C34" s="458"/>
      <c r="D34" s="468"/>
      <c r="E34" s="468"/>
      <c r="F34" s="459" t="s">
        <v>1038</v>
      </c>
      <c r="G34" s="468"/>
      <c r="H34" s="459"/>
      <c r="I34" s="458"/>
      <c r="J34" s="458"/>
      <c r="K34" s="458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IQ34" s="13">
        <f>IF(Data!D94="","",Data!D94)</f>
        <v>0</v>
      </c>
    </row>
    <row r="35" spans="1:251" ht="15.75">
      <c r="A35" s="468"/>
      <c r="B35" s="459" t="s">
        <v>1036</v>
      </c>
      <c r="C35" s="468"/>
      <c r="D35" s="468"/>
      <c r="E35" s="468"/>
      <c r="F35" s="459" t="s">
        <v>1039</v>
      </c>
      <c r="G35" s="468"/>
      <c r="H35" s="459"/>
      <c r="I35" s="458"/>
      <c r="J35" s="458"/>
      <c r="K35" s="458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IQ35" s="13">
        <f>IF(Data!D95="","",Data!D95)</f>
        <v>0</v>
      </c>
    </row>
    <row r="36" spans="1:251" ht="15.75">
      <c r="A36" s="468"/>
      <c r="B36" s="459" t="s">
        <v>1043</v>
      </c>
      <c r="C36" s="468"/>
      <c r="D36" s="468"/>
      <c r="E36" s="468"/>
      <c r="F36" s="459" t="s">
        <v>1040</v>
      </c>
      <c r="G36" s="468"/>
      <c r="H36" s="459"/>
      <c r="I36" s="458"/>
      <c r="J36" s="458"/>
      <c r="K36" s="458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IQ36" s="13">
        <f>IF(Data!D96="","",Data!D96)</f>
        <v>0</v>
      </c>
    </row>
    <row r="37" spans="1:251" ht="12.75">
      <c r="A37" s="468"/>
      <c r="B37" s="493"/>
      <c r="C37" s="468"/>
      <c r="D37" s="468"/>
      <c r="E37" s="468"/>
      <c r="F37" s="468"/>
      <c r="G37" s="468"/>
      <c r="H37" s="459"/>
      <c r="I37" s="458"/>
      <c r="J37" s="458"/>
      <c r="K37" s="458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IQ37" s="13">
        <f>IF(Data!D97="","",Data!D97)</f>
        <v>0</v>
      </c>
    </row>
    <row r="38" spans="1:251" ht="12.75">
      <c r="A38" s="556"/>
      <c r="B38" s="458"/>
      <c r="C38" s="556"/>
      <c r="D38" s="556"/>
      <c r="E38" s="556"/>
      <c r="F38" s="556"/>
      <c r="G38" s="556"/>
      <c r="H38" s="556"/>
      <c r="I38" s="556"/>
      <c r="J38" s="556"/>
      <c r="K38" s="556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IQ38" s="13">
        <f>IF(Data!D98="","",Data!D98)</f>
        <v>0</v>
      </c>
    </row>
    <row r="39" spans="1:251" ht="12.75">
      <c r="A39" s="1035" t="s">
        <v>775</v>
      </c>
      <c r="B39" s="1036"/>
      <c r="C39" s="1036"/>
      <c r="D39" s="1036"/>
      <c r="E39" s="1036"/>
      <c r="F39" s="1036"/>
      <c r="G39" s="1036"/>
      <c r="H39" s="1036"/>
      <c r="I39" s="1036"/>
      <c r="J39" s="1036"/>
      <c r="K39" s="1036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IQ39" s="13">
        <f>IF(Data!D99="","",Data!D99)</f>
        <v>0</v>
      </c>
    </row>
    <row r="40" spans="1:251" ht="12.75">
      <c r="A40" s="1030"/>
      <c r="B40" s="1031"/>
      <c r="C40" s="1031"/>
      <c r="D40" s="1031"/>
      <c r="E40" s="1031"/>
      <c r="F40" s="1031"/>
      <c r="G40" s="1031"/>
      <c r="H40" s="1031"/>
      <c r="I40" s="1031"/>
      <c r="J40" s="1031"/>
      <c r="K40" s="103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IQ40" s="13">
        <f>IF(Data!D100="","",Data!D100)</f>
        <v>0</v>
      </c>
    </row>
    <row r="41" spans="1:251" ht="15.75">
      <c r="A41" s="458"/>
      <c r="B41" s="239" t="s">
        <v>1020</v>
      </c>
      <c r="C41" s="320" t="s">
        <v>1045</v>
      </c>
      <c r="D41" s="239" t="s">
        <v>1044</v>
      </c>
      <c r="E41" s="532">
        <f>IF(Input!$B$6="","",IF(Input!$B$6="E","in.",IF(Input!$B$6="M","mm")))</f>
      </c>
      <c r="F41" s="459" t="s">
        <v>1028</v>
      </c>
      <c r="G41" s="320" t="s">
        <v>1047</v>
      </c>
      <c r="H41" s="65" t="s">
        <v>1048</v>
      </c>
      <c r="I41" s="532">
        <f>IF(Input!$B$6="","",IF(Input!$B$6="E","lbs.",IF(Input!$B$6="M","N")))</f>
      </c>
      <c r="J41" s="557"/>
      <c r="K41" s="557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IQ41" s="13">
        <f>IF(Data!D101="","",Data!D101)</f>
        <v>0</v>
      </c>
    </row>
    <row r="42" spans="1:251" ht="12.75">
      <c r="A42" s="458"/>
      <c r="B42" s="477"/>
      <c r="C42" s="458"/>
      <c r="D42" s="239"/>
      <c r="E42" s="557"/>
      <c r="F42" s="65" t="s">
        <v>1003</v>
      </c>
      <c r="G42" s="557"/>
      <c r="H42" s="557"/>
      <c r="I42" s="510"/>
      <c r="J42" s="510"/>
      <c r="K42" s="5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IQ42" s="13">
        <f>IF(Data!D102="","",Data!D102)</f>
        <v>0</v>
      </c>
    </row>
    <row r="43" spans="1:251" ht="12.75">
      <c r="A43" s="458"/>
      <c r="B43" s="239" t="s">
        <v>1021</v>
      </c>
      <c r="C43" s="458"/>
      <c r="D43" s="239"/>
      <c r="E43" s="557"/>
      <c r="F43" s="493" t="s">
        <v>1025</v>
      </c>
      <c r="G43" s="557"/>
      <c r="H43" s="557"/>
      <c r="I43" s="510"/>
      <c r="J43" s="510"/>
      <c r="K43" s="5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IQ43" s="13">
        <f>IF(Data!D103="","",Data!D103)</f>
        <v>0</v>
      </c>
    </row>
    <row r="44" spans="1:251" ht="15.75">
      <c r="A44" s="458"/>
      <c r="B44" s="239" t="s">
        <v>1019</v>
      </c>
      <c r="C44" s="320" t="s">
        <v>1049</v>
      </c>
      <c r="D44" s="239" t="s">
        <v>1046</v>
      </c>
      <c r="E44" s="532">
        <f>IF(Input!$B$6="","",IF(Input!$B$6="E","in.",IF(Input!$B$6="M","mm")))</f>
      </c>
      <c r="F44" s="493"/>
      <c r="G44" s="557"/>
      <c r="H44" s="557"/>
      <c r="I44" s="510"/>
      <c r="J44" s="510"/>
      <c r="K44" s="5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IQ44" s="13">
        <f>IF(Data!D104="","",Data!D104)</f>
        <v>0</v>
      </c>
    </row>
    <row r="45" spans="1:251" ht="12.75">
      <c r="A45" s="458"/>
      <c r="B45" s="239" t="s">
        <v>111</v>
      </c>
      <c r="C45" s="458"/>
      <c r="D45" s="239"/>
      <c r="E45" s="557"/>
      <c r="F45" s="557"/>
      <c r="G45" s="557"/>
      <c r="H45" s="557"/>
      <c r="I45" s="510"/>
      <c r="J45" s="510"/>
      <c r="K45" s="5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IQ45" s="13">
        <f>IF(Data!D105="","",Data!D105)</f>
        <v>0</v>
      </c>
    </row>
    <row r="46" spans="1:251" ht="12.75">
      <c r="A46" s="557"/>
      <c r="B46" s="510"/>
      <c r="C46" s="557"/>
      <c r="D46" s="557"/>
      <c r="E46" s="557"/>
      <c r="F46" s="557"/>
      <c r="G46" s="557"/>
      <c r="H46" s="557"/>
      <c r="I46" s="557"/>
      <c r="J46" s="557"/>
      <c r="K46" s="557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IQ46" s="13">
        <f>IF(Data!D106="","",Data!D106)</f>
        <v>0</v>
      </c>
    </row>
    <row r="47" spans="1:251" ht="15.75">
      <c r="A47" s="458"/>
      <c r="B47" s="320" t="s">
        <v>1053</v>
      </c>
      <c r="C47" s="558">
        <f>IF('Setup Bm Input'!B48="","",'Setup Bm Input'!B48)</f>
      </c>
      <c r="D47" s="458"/>
      <c r="E47" s="559" t="s">
        <v>1055</v>
      </c>
      <c r="F47" s="525">
        <f>'Setup Bm Input'!B34</f>
      </c>
      <c r="G47" s="532">
        <f>IF(Input!$B$6="","",IF(Input!$B$6="E","in.",IF(Input!$B$6="M","mm")))</f>
      </c>
      <c r="H47" s="458"/>
      <c r="I47" s="458"/>
      <c r="J47" s="458"/>
      <c r="K47" s="458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IQ47" s="13">
        <f>IF(Data!D107="","",Data!D107)</f>
        <v>0</v>
      </c>
    </row>
    <row r="48" spans="1:251" ht="12.75">
      <c r="A48" s="458"/>
      <c r="B48" s="458"/>
      <c r="C48" s="572"/>
      <c r="D48" s="458"/>
      <c r="E48" s="458"/>
      <c r="F48" s="458"/>
      <c r="G48" s="458"/>
      <c r="H48" s="458"/>
      <c r="I48" s="458"/>
      <c r="J48" s="458"/>
      <c r="K48" s="458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IQ48" s="13">
        <f>IF(Data!D108="","",Data!D108)</f>
        <v>0</v>
      </c>
    </row>
    <row r="49" spans="1:251" ht="15.75">
      <c r="A49" s="458"/>
      <c r="B49" s="320" t="s">
        <v>1056</v>
      </c>
      <c r="C49" s="560">
        <f>IF($B$8="Yes",$E$8,0)</f>
        <v>0</v>
      </c>
      <c r="D49" s="532">
        <f>IF(Input!$B$6="","",IF(Input!$B$6="E","in.",IF(Input!$B$6="M","mm")))</f>
      </c>
      <c r="E49" s="458"/>
      <c r="F49" s="458"/>
      <c r="G49" s="458"/>
      <c r="H49" s="458"/>
      <c r="I49" s="458"/>
      <c r="J49" s="458"/>
      <c r="K49" s="458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IQ49" s="13">
        <f>IF(Data!D109="","",Data!D109)</f>
        <v>0</v>
      </c>
    </row>
    <row r="50" spans="1:251" ht="12.75">
      <c r="A50" s="458"/>
      <c r="B50" s="458"/>
      <c r="C50" s="458"/>
      <c r="D50" s="458"/>
      <c r="E50" s="458"/>
      <c r="F50" s="458"/>
      <c r="G50" s="458"/>
      <c r="H50" s="458"/>
      <c r="I50" s="458"/>
      <c r="J50" s="458"/>
      <c r="K50" s="458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IQ50" s="13">
        <f>IF(Data!D110="","",Data!D110)</f>
        <v>0</v>
      </c>
    </row>
    <row r="51" spans="1:32" ht="12.75">
      <c r="A51" s="458"/>
      <c r="B51" s="458"/>
      <c r="C51" s="458"/>
      <c r="D51" s="458"/>
      <c r="E51" s="458"/>
      <c r="F51" s="458"/>
      <c r="G51" s="458"/>
      <c r="H51" s="458"/>
      <c r="I51" s="458"/>
      <c r="J51" s="458"/>
      <c r="K51" s="45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5.75">
      <c r="A52" s="495"/>
      <c r="B52" s="561"/>
      <c r="C52" s="561"/>
      <c r="D52" s="561"/>
      <c r="E52" s="561"/>
      <c r="F52" s="561"/>
      <c r="G52" s="524" t="s">
        <v>1064</v>
      </c>
      <c r="H52" s="524" t="s">
        <v>1065</v>
      </c>
      <c r="I52" s="495"/>
      <c r="J52" s="495"/>
      <c r="K52" s="495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5.75">
      <c r="A53" s="561"/>
      <c r="B53" s="458"/>
      <c r="C53" s="458"/>
      <c r="D53" s="458"/>
      <c r="E53" s="458"/>
      <c r="F53" s="458"/>
      <c r="G53" s="562" t="s">
        <v>1051</v>
      </c>
      <c r="H53" s="563" t="s">
        <v>1007</v>
      </c>
      <c r="I53" s="495"/>
      <c r="J53" s="495"/>
      <c r="K53" s="495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5.75">
      <c r="A54" s="495"/>
      <c r="B54" s="458"/>
      <c r="C54" s="458"/>
      <c r="D54" s="458"/>
      <c r="E54" s="524" t="s">
        <v>1022</v>
      </c>
      <c r="F54" s="524" t="s">
        <v>1023</v>
      </c>
      <c r="G54" s="564" t="s">
        <v>1006</v>
      </c>
      <c r="H54" s="564" t="s">
        <v>1006</v>
      </c>
      <c r="I54" s="561"/>
      <c r="J54" s="561"/>
      <c r="K54" s="56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2.75">
      <c r="A55" s="458"/>
      <c r="B55" s="458"/>
      <c r="C55" s="565" t="s">
        <v>112</v>
      </c>
      <c r="D55" s="525" t="s">
        <v>114</v>
      </c>
      <c r="E55" s="525">
        <f>IF(Input!$B$6="","",IF(Input!$B$6="E","Area (sq. in.)",IF(Input!$B$6="M","Area (sq. mm)")))</f>
      </c>
      <c r="F55" s="566">
        <f>IF(Input!$B$6="","",IF(Input!$B$6="E","Mod. El. (psi)",IF(Input!$B$6="M","Mod. El. (kPA)")))</f>
      </c>
      <c r="G55" s="567">
        <f>IF(Input!$B$6="","",IF(Input!$B$6="E","Strand (in.)",IF(Input!$B$6="M","Strand (mm)")))</f>
      </c>
      <c r="H55" s="564">
        <f>IF(Input!$B$6="","",IF(Input!$B$6="E","Strand (lbs.)",IF(Input!$B$6="M","Strand (N)")))</f>
      </c>
      <c r="I55" s="532"/>
      <c r="J55" s="495"/>
      <c r="K55" s="495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2.75">
      <c r="A56" s="458"/>
      <c r="B56" s="458"/>
      <c r="C56" s="525" t="s">
        <v>90</v>
      </c>
      <c r="D56" s="558">
        <f>IF('Setup Bm Input'!B63="","",'Setup Bm Input'!B63)</f>
      </c>
      <c r="E56" s="558">
        <f>IF('Setup Bm Input'!D63="","",'Setup Bm Input'!D63)</f>
      </c>
      <c r="F56" s="558">
        <f>IF('Setup Bm Input'!E63="","",'Setup Bm Input'!E63)</f>
      </c>
      <c r="G56" s="560">
        <f>IF(E56="","",IF($B$8="Yes",$E$8/'Setup Bm Input'!$B$48+$E$8/2,""))</f>
      </c>
      <c r="H56" s="569">
        <f>IF(G56="","",IF($B$8="Yes",IF(Input!$B$6="E",G56/'Setup Bm Input'!$B$34*'Self Stress'!F56*'Self Stress'!E56,G56/'Setup Bm Input'!$B$34*'Self Stress'!F56*'Self Stress'!E56/1000),""))</f>
      </c>
      <c r="I56" s="532"/>
      <c r="J56" s="495"/>
      <c r="K56" s="495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2.75">
      <c r="A57" s="458"/>
      <c r="B57" s="458"/>
      <c r="C57" s="525" t="s">
        <v>91</v>
      </c>
      <c r="D57" s="558">
        <f>IF('Setup Bm Input'!B64="","",'Setup Bm Input'!B64)</f>
      </c>
      <c r="E57" s="558">
        <f>IF('Setup Bm Input'!D64="","",'Setup Bm Input'!D64)</f>
      </c>
      <c r="F57" s="558">
        <f>IF('Setup Bm Input'!E64="","",'Setup Bm Input'!E64)</f>
      </c>
      <c r="G57" s="560">
        <f>IF(E57="","",IF($B$8="Yes",$E$8/'Setup Bm Input'!$B$48+$E$8/2,""))</f>
      </c>
      <c r="H57" s="569">
        <f>IF(G57="","",IF($B$8="Yes",IF(Input!$B$6="E",G57/'Setup Bm Input'!$B$34*'Self Stress'!F57*'Self Stress'!E57,G57/'Setup Bm Input'!$B$34*'Self Stress'!F57*'Self Stress'!E57/1000),""))</f>
      </c>
      <c r="I57" s="495"/>
      <c r="J57" s="495"/>
      <c r="K57" s="495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2.75">
      <c r="A58" s="458"/>
      <c r="B58" s="458"/>
      <c r="C58" s="525" t="s">
        <v>92</v>
      </c>
      <c r="D58" s="558">
        <f>IF('Setup Bm Input'!B65="","",'Setup Bm Input'!B65)</f>
      </c>
      <c r="E58" s="558">
        <f>IF('Setup Bm Input'!D65="","",'Setup Bm Input'!D65)</f>
      </c>
      <c r="F58" s="558">
        <f>IF('Setup Bm Input'!E65="","",'Setup Bm Input'!E65)</f>
      </c>
      <c r="G58" s="560">
        <f>IF(E58="","",IF($B$8="Yes",$E$8/'Setup Bm Input'!$B$48+$E$8/2,""))</f>
      </c>
      <c r="H58" s="569">
        <f>IF(G58="","",IF($B$8="Yes",IF(Input!$B$6="E",G58/'Setup Bm Input'!$B$34*'Self Stress'!F58*'Self Stress'!E58,G58/'Setup Bm Input'!$B$34*'Self Stress'!F58*'Self Stress'!E58/1000),""))</f>
      </c>
      <c r="I58" s="495"/>
      <c r="J58" s="495"/>
      <c r="K58" s="495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2.75">
      <c r="A59" s="458"/>
      <c r="B59" s="458"/>
      <c r="C59" s="525" t="s">
        <v>93</v>
      </c>
      <c r="D59" s="558">
        <f>IF('Setup Bm Input'!B66="","",'Setup Bm Input'!B66)</f>
      </c>
      <c r="E59" s="558">
        <f>IF('Setup Bm Input'!D66="","",'Setup Bm Input'!D66)</f>
      </c>
      <c r="F59" s="558">
        <f>IF('Setup Bm Input'!E66="","",'Setup Bm Input'!E66)</f>
      </c>
      <c r="G59" s="560">
        <f>IF(E59="","",IF($B$8="Yes",$E$8/'Setup Bm Input'!$B$48+$E$8/2,""))</f>
      </c>
      <c r="H59" s="569">
        <f>IF(G59="","",IF($B$8="Yes",IF(Input!$B$6="E",G59/'Setup Bm Input'!$B$34*'Self Stress'!F59*'Self Stress'!E59,G59/'Setup Bm Input'!$B$34*'Self Stress'!F59*'Self Stress'!E59/1000),""))</f>
      </c>
      <c r="I59" s="495"/>
      <c r="J59" s="495"/>
      <c r="K59" s="495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2.75">
      <c r="A60" s="458"/>
      <c r="B60" s="458"/>
      <c r="C60" s="458"/>
      <c r="D60" s="458"/>
      <c r="E60" s="458"/>
      <c r="F60" s="458"/>
      <c r="G60" s="458"/>
      <c r="H60" s="458"/>
      <c r="I60" s="495"/>
      <c r="J60" s="495"/>
      <c r="K60" s="495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2.75">
      <c r="A61" s="478" t="s">
        <v>98</v>
      </c>
      <c r="B61" s="540"/>
      <c r="C61" s="541"/>
      <c r="D61" s="541"/>
      <c r="E61" s="541"/>
      <c r="F61" s="541"/>
      <c r="G61" s="541"/>
      <c r="H61" s="541"/>
      <c r="I61" s="541"/>
      <c r="J61" s="541"/>
      <c r="K61" s="54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2.75">
      <c r="A62" s="468"/>
      <c r="B62" s="542"/>
      <c r="C62" s="542"/>
      <c r="D62" s="542"/>
      <c r="E62" s="542"/>
      <c r="F62" s="542"/>
      <c r="G62" s="542"/>
      <c r="H62" s="542"/>
      <c r="I62" s="542"/>
      <c r="J62" s="542"/>
      <c r="K62" s="54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2.75">
      <c r="A63" s="541"/>
      <c r="B63" s="541"/>
      <c r="C63" s="541"/>
      <c r="D63" s="541"/>
      <c r="E63" s="541"/>
      <c r="F63" s="541"/>
      <c r="G63" s="541"/>
      <c r="H63" s="541"/>
      <c r="I63" s="541"/>
      <c r="J63" s="541"/>
      <c r="K63" s="541"/>
      <c r="L63" s="2"/>
      <c r="M63" s="2"/>
      <c r="N63" s="2"/>
      <c r="O63" s="146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2.75">
      <c r="A64" s="468"/>
      <c r="B64" s="468"/>
      <c r="C64" s="468"/>
      <c r="D64" s="468"/>
      <c r="E64" s="468"/>
      <c r="F64" s="468"/>
      <c r="G64" s="468"/>
      <c r="H64" s="468"/>
      <c r="I64" s="468"/>
      <c r="J64" s="468"/>
      <c r="K64" s="468"/>
      <c r="L64" s="2"/>
      <c r="M64" s="2"/>
      <c r="N64" s="2"/>
      <c r="O64" s="146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2.75">
      <c r="A65" s="468"/>
      <c r="B65" s="468"/>
      <c r="C65" s="468"/>
      <c r="D65" s="468"/>
      <c r="E65" s="468"/>
      <c r="F65" s="533" t="s">
        <v>967</v>
      </c>
      <c r="G65" s="534">
        <f>B5</f>
      </c>
      <c r="H65" s="535"/>
      <c r="I65" s="536"/>
      <c r="J65" s="468"/>
      <c r="K65" s="537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2.75">
      <c r="A66" s="3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2:32" ht="12.75"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2:32" ht="12.75"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2:32" ht="12.75"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2:32" ht="12.75"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2.75">
      <c r="A72" s="2"/>
      <c r="B72" s="5"/>
      <c r="C72" s="5"/>
      <c r="D72" s="5"/>
      <c r="E72" s="5"/>
      <c r="F72" s="5"/>
      <c r="G72" s="139"/>
      <c r="H72" s="139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2.75">
      <c r="A73" s="2"/>
      <c r="B73" s="2"/>
      <c r="C73" s="5"/>
      <c r="D73" s="5"/>
      <c r="E73" s="5"/>
      <c r="F73" s="5"/>
      <c r="G73" s="5"/>
      <c r="H73" s="5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2.75">
      <c r="A74" s="2"/>
      <c r="B74" s="5"/>
      <c r="C74" s="138"/>
      <c r="D74" s="138"/>
      <c r="E74" s="138"/>
      <c r="F74" s="138"/>
      <c r="G74" s="138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2.75">
      <c r="A75" s="2"/>
      <c r="B75" s="5"/>
      <c r="C75" s="138"/>
      <c r="D75" s="138"/>
      <c r="E75" s="138"/>
      <c r="F75" s="138"/>
      <c r="G75" s="138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2.75">
      <c r="A76" s="2"/>
      <c r="B76" s="145"/>
      <c r="C76" s="138"/>
      <c r="D76" s="138"/>
      <c r="E76" s="138"/>
      <c r="F76" s="138"/>
      <c r="G76" s="138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2.75">
      <c r="A77" s="2"/>
      <c r="B77" s="5"/>
      <c r="C77" s="138"/>
      <c r="D77" s="138"/>
      <c r="E77" s="138"/>
      <c r="F77" s="138"/>
      <c r="G77" s="138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2.75">
      <c r="A78" s="14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2.75">
      <c r="A79" s="2"/>
      <c r="B79" s="66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2.75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2.75">
      <c r="A82" s="2"/>
      <c r="B82" s="5"/>
      <c r="C82" s="2"/>
      <c r="D82" s="2"/>
      <c r="E82" s="2"/>
      <c r="F82" s="2"/>
      <c r="G82" s="5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2.75">
      <c r="A83" s="2"/>
      <c r="B83" s="139"/>
      <c r="C83" s="5"/>
      <c r="D83" s="139"/>
      <c r="E83" s="5"/>
      <c r="F83" s="139"/>
      <c r="G83" s="139"/>
      <c r="H83" s="5"/>
      <c r="I83" s="139"/>
      <c r="J83" s="5"/>
      <c r="K83" s="139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2.75">
      <c r="A85" s="5"/>
      <c r="B85" s="5"/>
      <c r="C85" s="5"/>
      <c r="D85" s="5"/>
      <c r="E85" s="2"/>
      <c r="F85" s="2"/>
      <c r="G85" s="5"/>
      <c r="H85" s="5"/>
      <c r="I85" s="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2.75">
      <c r="A86" s="145"/>
      <c r="B86" s="5"/>
      <c r="C86" s="5"/>
      <c r="D86" s="5"/>
      <c r="E86" s="52"/>
      <c r="F86" s="52"/>
      <c r="G86" s="5"/>
      <c r="H86" s="5"/>
      <c r="I86" s="5"/>
      <c r="J86" s="52"/>
      <c r="K86" s="52"/>
      <c r="L86" s="2"/>
      <c r="M86" s="2"/>
      <c r="N86" s="2"/>
      <c r="O86" s="5"/>
      <c r="P86" s="5"/>
      <c r="Q86" s="5"/>
      <c r="R86" s="5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12.75">
      <c r="A87" s="5"/>
      <c r="B87" s="5"/>
      <c r="C87" s="5"/>
      <c r="D87" s="5"/>
      <c r="E87" s="2"/>
      <c r="F87" s="2"/>
      <c r="G87" s="5"/>
      <c r="H87" s="5"/>
      <c r="I87" s="5"/>
      <c r="J87" s="2"/>
      <c r="K87" s="2"/>
      <c r="L87" s="2"/>
      <c r="M87" s="2"/>
      <c r="N87" s="2"/>
      <c r="O87" s="5"/>
      <c r="P87" s="5"/>
      <c r="Q87" s="5"/>
      <c r="R87" s="5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12.75">
      <c r="A88" s="2"/>
      <c r="B88" s="5"/>
      <c r="C88" s="5"/>
      <c r="D88" s="5"/>
      <c r="E88" s="2"/>
      <c r="F88" s="2"/>
      <c r="G88" s="5"/>
      <c r="H88" s="5"/>
      <c r="I88" s="5"/>
      <c r="J88" s="2"/>
      <c r="K88" s="2"/>
      <c r="L88" s="2"/>
      <c r="M88" s="2"/>
      <c r="N88" s="2"/>
      <c r="O88" s="5"/>
      <c r="P88" s="5"/>
      <c r="Q88" s="5"/>
      <c r="R88" s="5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2.75">
      <c r="A89" s="14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147"/>
      <c r="P89" s="147"/>
      <c r="Q89" s="147"/>
      <c r="R89" s="147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5"/>
      <c r="P90" s="5"/>
      <c r="Q90" s="5"/>
      <c r="R90" s="5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5"/>
      <c r="P91" s="5"/>
      <c r="Q91" s="5"/>
      <c r="R91" s="5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15.75">
      <c r="A92" s="15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5.75">
      <c r="A93" s="2"/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144"/>
      <c r="N94" s="4"/>
      <c r="O94" s="148"/>
      <c r="P94" s="148"/>
      <c r="Q94" s="148"/>
      <c r="R94" s="148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12.75">
      <c r="A95" s="2"/>
      <c r="B95" s="5"/>
      <c r="C95" s="5"/>
      <c r="D95" s="2"/>
      <c r="E95" s="2"/>
      <c r="F95" s="2"/>
      <c r="G95" s="4"/>
      <c r="H95" s="5"/>
      <c r="I95" s="2"/>
      <c r="J95" s="2"/>
      <c r="K95" s="2"/>
      <c r="L95" s="2"/>
      <c r="M95" s="144"/>
      <c r="N95" s="4"/>
      <c r="O95" s="5"/>
      <c r="P95" s="5"/>
      <c r="Q95" s="5"/>
      <c r="R95" s="5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2.75">
      <c r="A96" s="2"/>
      <c r="B96" s="2"/>
      <c r="C96" s="139"/>
      <c r="D96" s="5"/>
      <c r="E96" s="139"/>
      <c r="F96" s="5"/>
      <c r="G96" s="139"/>
      <c r="H96" s="139"/>
      <c r="I96" s="5"/>
      <c r="J96" s="2"/>
      <c r="K96" s="2"/>
      <c r="L96" s="2"/>
      <c r="M96" s="2"/>
      <c r="N96" s="4"/>
      <c r="O96" s="147"/>
      <c r="P96" s="147"/>
      <c r="Q96" s="147"/>
      <c r="R96" s="147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2.75">
      <c r="A97" s="2"/>
      <c r="B97" s="2"/>
      <c r="C97" s="5"/>
      <c r="D97" s="5"/>
      <c r="E97" s="5"/>
      <c r="F97" s="5"/>
      <c r="G97" s="5"/>
      <c r="H97" s="5"/>
      <c r="I97" s="5"/>
      <c r="J97" s="5"/>
      <c r="K97" s="139"/>
      <c r="L97" s="2"/>
      <c r="M97" s="2"/>
      <c r="N97" s="4"/>
      <c r="O97" s="5"/>
      <c r="P97" s="5"/>
      <c r="Q97" s="5"/>
      <c r="R97" s="5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2.75">
      <c r="A98" s="2"/>
      <c r="B98" s="5"/>
      <c r="C98" s="5"/>
      <c r="D98" s="5"/>
      <c r="E98" s="5"/>
      <c r="F98" s="2"/>
      <c r="G98" s="2"/>
      <c r="H98" s="5"/>
      <c r="I98" s="5"/>
      <c r="J98" s="5"/>
      <c r="K98" s="5"/>
      <c r="L98" s="2"/>
      <c r="M98" s="2"/>
      <c r="N98" s="2"/>
      <c r="O98" s="5"/>
      <c r="P98" s="5"/>
      <c r="Q98" s="5"/>
      <c r="R98" s="5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2.75">
      <c r="A99" s="2"/>
      <c r="B99" s="5"/>
      <c r="C99" s="5"/>
      <c r="D99" s="5"/>
      <c r="E99" s="5"/>
      <c r="F99" s="52"/>
      <c r="G99" s="52"/>
      <c r="H99" s="5"/>
      <c r="I99" s="5"/>
      <c r="J99" s="2"/>
      <c r="K99" s="2"/>
      <c r="L99" s="2"/>
      <c r="M99" s="2"/>
      <c r="N99" s="4"/>
      <c r="O99" s="148"/>
      <c r="P99" s="148"/>
      <c r="Q99" s="148"/>
      <c r="R99" s="148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2.75">
      <c r="A100" s="2"/>
      <c r="B100" s="145"/>
      <c r="C100" s="5"/>
      <c r="D100" s="5"/>
      <c r="E100" s="5"/>
      <c r="F100" s="2"/>
      <c r="G100" s="2"/>
      <c r="H100" s="5"/>
      <c r="I100" s="5"/>
      <c r="J100" s="52"/>
      <c r="K100" s="52"/>
      <c r="L100" s="2"/>
      <c r="M100" s="2"/>
      <c r="N100" s="4"/>
      <c r="O100" s="139"/>
      <c r="P100" s="139"/>
      <c r="Q100" s="139"/>
      <c r="R100" s="139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12.75">
      <c r="A101" s="2"/>
      <c r="B101" s="5"/>
      <c r="C101" s="5"/>
      <c r="D101" s="5"/>
      <c r="E101" s="5"/>
      <c r="F101" s="2"/>
      <c r="G101" s="2"/>
      <c r="H101" s="5"/>
      <c r="I101" s="5"/>
      <c r="J101" s="2"/>
      <c r="K101" s="2"/>
      <c r="L101" s="2"/>
      <c r="M101" s="2"/>
      <c r="N101" s="4"/>
      <c r="O101" s="147"/>
      <c r="P101" s="147"/>
      <c r="Q101" s="147"/>
      <c r="R101" s="147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4"/>
      <c r="O102" s="5"/>
      <c r="P102" s="5"/>
      <c r="Q102" s="5"/>
      <c r="R102" s="5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12.75">
      <c r="A103" s="2"/>
      <c r="B103" s="14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5"/>
      <c r="P103" s="5"/>
      <c r="Q103" s="5"/>
      <c r="R103" s="5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12.75">
      <c r="A108" s="14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12.75">
      <c r="A109" s="2"/>
      <c r="B109" s="149"/>
      <c r="C109" s="150"/>
      <c r="D109" s="150"/>
      <c r="E109" s="150"/>
      <c r="F109" s="150"/>
      <c r="G109" s="150"/>
      <c r="H109" s="150"/>
      <c r="I109" s="150"/>
      <c r="J109" s="150"/>
      <c r="K109" s="150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12.75">
      <c r="A110" s="149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12.75">
      <c r="A111" s="2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12.75">
      <c r="A112" s="54"/>
      <c r="B112" s="2"/>
      <c r="C112" s="2"/>
      <c r="D112" s="2"/>
      <c r="E112" s="2"/>
      <c r="F112" s="2"/>
      <c r="G112" s="2"/>
      <c r="H112" s="141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12.75">
      <c r="A113" s="54"/>
      <c r="B113" s="54"/>
      <c r="C113" s="54"/>
      <c r="D113" s="151"/>
      <c r="E113" s="54"/>
      <c r="F113" s="54"/>
      <c r="G113" s="54"/>
      <c r="H113" s="5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12.75">
      <c r="A114" s="151"/>
      <c r="B114" s="54"/>
      <c r="C114" s="54"/>
      <c r="D114" s="54"/>
      <c r="E114" s="54"/>
      <c r="F114" s="54"/>
      <c r="G114" s="54"/>
      <c r="H114" s="5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12.75">
      <c r="A115" s="152"/>
      <c r="B115" s="151"/>
      <c r="C115" s="151"/>
      <c r="D115" s="151"/>
      <c r="E115" s="151"/>
      <c r="F115" s="151"/>
      <c r="G115" s="151"/>
      <c r="H115" s="5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2:32" ht="12.75">
      <c r="B116" s="152"/>
      <c r="C116" s="152"/>
      <c r="D116" s="152"/>
      <c r="E116" s="152"/>
      <c r="F116" s="153"/>
      <c r="G116" s="153"/>
      <c r="H116" s="15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</sheetData>
  <sheetProtection sheet="1"/>
  <mergeCells count="9">
    <mergeCell ref="A32:K32"/>
    <mergeCell ref="A39:K39"/>
    <mergeCell ref="A40:K40"/>
    <mergeCell ref="A1:C1"/>
    <mergeCell ref="A15:K15"/>
    <mergeCell ref="A16:K16"/>
    <mergeCell ref="A17:K17"/>
    <mergeCell ref="A18:K18"/>
    <mergeCell ref="D19:D22"/>
  </mergeCells>
  <printOptions horizontalCentered="1"/>
  <pageMargins left="0.5" right="0.5" top="0.5" bottom="0.5" header="0" footer="0"/>
  <pageSetup fitToHeight="1" fitToWidth="1" horizontalDpi="600" verticalDpi="600"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R103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8.8515625" style="0" customWidth="1"/>
    <col min="2" max="2" width="14.7109375" style="0" customWidth="1"/>
    <col min="3" max="3" width="14.57421875" style="0" customWidth="1"/>
    <col min="4" max="4" width="14.8515625" style="0" bestFit="1" customWidth="1"/>
    <col min="5" max="5" width="13.28125" style="0" customWidth="1"/>
    <col min="6" max="6" width="12.7109375" style="0" customWidth="1"/>
    <col min="7" max="7" width="13.28125" style="0" customWidth="1"/>
    <col min="8" max="8" width="12.7109375" style="0" customWidth="1"/>
    <col min="9" max="9" width="11.28125" style="0" bestFit="1" customWidth="1"/>
    <col min="10" max="11" width="10.7109375" style="0" customWidth="1"/>
    <col min="12" max="12" width="13.421875" style="0" bestFit="1" customWidth="1"/>
    <col min="13" max="14" width="15.7109375" style="0" customWidth="1"/>
  </cols>
  <sheetData>
    <row r="1" spans="1:252" ht="12.75">
      <c r="A1" s="1020" t="s">
        <v>835</v>
      </c>
      <c r="B1" s="1026"/>
      <c r="C1" s="1026"/>
      <c r="D1" s="458"/>
      <c r="E1" s="458"/>
      <c r="F1" s="458"/>
      <c r="G1" s="458"/>
      <c r="H1" s="458"/>
      <c r="I1" s="458"/>
      <c r="J1" s="458"/>
      <c r="K1" s="458"/>
      <c r="M1" s="4"/>
      <c r="N1" s="4"/>
      <c r="O1" s="4"/>
      <c r="IR1" s="2"/>
    </row>
    <row r="2" spans="1:252" ht="12.75">
      <c r="A2" s="458"/>
      <c r="B2" s="458"/>
      <c r="C2" s="458"/>
      <c r="D2" s="468"/>
      <c r="E2" s="468"/>
      <c r="F2" s="468"/>
      <c r="G2" s="468"/>
      <c r="H2" s="468"/>
      <c r="I2" s="468"/>
      <c r="J2" s="468"/>
      <c r="K2" s="468"/>
      <c r="L2" s="3"/>
      <c r="M2" s="54"/>
      <c r="N2" s="4"/>
      <c r="O2" s="4"/>
      <c r="IR2" s="2"/>
    </row>
    <row r="3" spans="1:252" ht="18">
      <c r="A3" s="573" t="s">
        <v>51</v>
      </c>
      <c r="B3" s="478"/>
      <c r="C3" s="468"/>
      <c r="D3" s="458"/>
      <c r="E3" s="458"/>
      <c r="F3" s="458"/>
      <c r="G3" s="458"/>
      <c r="H3" s="458"/>
      <c r="I3" s="557"/>
      <c r="J3" s="468"/>
      <c r="K3" s="468"/>
      <c r="L3" s="3"/>
      <c r="M3" s="54"/>
      <c r="N3" s="4"/>
      <c r="O3" s="4"/>
      <c r="IR3" s="2"/>
    </row>
    <row r="4" spans="1:252" ht="12.75">
      <c r="A4" s="478"/>
      <c r="B4" s="478"/>
      <c r="C4" s="468"/>
      <c r="D4" s="458"/>
      <c r="E4" s="458"/>
      <c r="F4" s="320"/>
      <c r="G4" s="550"/>
      <c r="H4" s="557"/>
      <c r="I4" s="468"/>
      <c r="J4" s="468"/>
      <c r="K4" s="468"/>
      <c r="L4" s="3"/>
      <c r="M4" s="54"/>
      <c r="N4" s="4"/>
      <c r="O4" s="4"/>
      <c r="IR4" s="2"/>
    </row>
    <row r="5" spans="1:252" ht="12.75">
      <c r="A5" s="574" t="s">
        <v>967</v>
      </c>
      <c r="B5" s="489">
        <f>IF(Input!E14="","",Input!E14)</f>
      </c>
      <c r="C5" s="575"/>
      <c r="D5" s="559"/>
      <c r="E5" s="494"/>
      <c r="F5" s="468"/>
      <c r="G5" s="576"/>
      <c r="H5" s="459"/>
      <c r="I5" s="468"/>
      <c r="J5" s="468"/>
      <c r="K5" s="468"/>
      <c r="L5" s="3"/>
      <c r="M5" s="54"/>
      <c r="N5" s="4"/>
      <c r="O5" s="4"/>
      <c r="IR5" s="2"/>
    </row>
    <row r="6" spans="1:252" ht="12.75">
      <c r="A6" s="468"/>
      <c r="B6" s="458"/>
      <c r="C6" s="458"/>
      <c r="D6" s="458"/>
      <c r="E6" s="458"/>
      <c r="F6" s="458"/>
      <c r="G6" s="549"/>
      <c r="H6" s="459"/>
      <c r="I6" s="468"/>
      <c r="J6" s="468"/>
      <c r="K6" s="468"/>
      <c r="L6" s="3"/>
      <c r="M6" s="54"/>
      <c r="N6" s="4"/>
      <c r="O6" s="4"/>
      <c r="IR6" s="2"/>
    </row>
    <row r="7" spans="1:252" ht="12.75">
      <c r="A7" s="485"/>
      <c r="B7" s="487"/>
      <c r="C7" s="495"/>
      <c r="D7" s="495"/>
      <c r="E7" s="459"/>
      <c r="F7" s="577"/>
      <c r="G7" s="559" t="s">
        <v>680</v>
      </c>
      <c r="H7" s="185"/>
      <c r="I7" s="65" t="s">
        <v>653</v>
      </c>
      <c r="J7" s="468"/>
      <c r="K7" s="458"/>
      <c r="L7" s="3"/>
      <c r="M7" s="54"/>
      <c r="N7" s="4"/>
      <c r="O7" s="4"/>
      <c r="IR7" s="2"/>
    </row>
    <row r="8" spans="1:252" ht="12.75">
      <c r="A8" s="503" t="s">
        <v>769</v>
      </c>
      <c r="B8" s="497"/>
      <c r="C8" s="495"/>
      <c r="D8" s="495"/>
      <c r="E8" s="458"/>
      <c r="F8" s="493"/>
      <c r="G8" s="459"/>
      <c r="H8" s="468"/>
      <c r="I8" s="468"/>
      <c r="J8" s="468"/>
      <c r="K8" s="458"/>
      <c r="L8" s="3"/>
      <c r="M8" s="54"/>
      <c r="N8" s="4"/>
      <c r="O8" s="4"/>
      <c r="IR8" s="2"/>
    </row>
    <row r="9" spans="1:252" ht="12.75">
      <c r="A9" s="491" t="s">
        <v>1008</v>
      </c>
      <c r="B9" s="476">
        <f>'Setup Bm Input'!F29</f>
        <v>0</v>
      </c>
      <c r="C9" s="458"/>
      <c r="D9" s="495"/>
      <c r="E9" s="458"/>
      <c r="F9" s="493"/>
      <c r="G9" s="459"/>
      <c r="H9" s="468"/>
      <c r="I9" s="468"/>
      <c r="J9" s="468"/>
      <c r="K9" s="458"/>
      <c r="L9" s="3"/>
      <c r="M9" s="54"/>
      <c r="N9" s="4"/>
      <c r="O9" s="4"/>
      <c r="IR9" s="2"/>
    </row>
    <row r="10" spans="1:252" ht="15.75">
      <c r="A10" s="506"/>
      <c r="B10" s="508"/>
      <c r="C10" s="495"/>
      <c r="D10" s="495"/>
      <c r="E10" s="478"/>
      <c r="F10" s="478"/>
      <c r="G10" s="559" t="s">
        <v>767</v>
      </c>
      <c r="H10" s="116"/>
      <c r="I10" s="459">
        <f>IF(Input!$B$6="","",IF(Input!$B$6="E","Degree F",IF(Input!$B$6="M","Degree C")))</f>
      </c>
      <c r="J10" s="468"/>
      <c r="K10" s="458"/>
      <c r="L10" s="3"/>
      <c r="M10" s="54"/>
      <c r="N10" s="4"/>
      <c r="O10" s="4"/>
      <c r="IR10" s="2"/>
    </row>
    <row r="11" spans="1:252" ht="12.75">
      <c r="A11" s="493"/>
      <c r="B11" s="493"/>
      <c r="C11" s="482"/>
      <c r="D11" s="578"/>
      <c r="E11" s="458"/>
      <c r="F11" s="458"/>
      <c r="G11" s="458"/>
      <c r="H11" s="458"/>
      <c r="I11" s="458"/>
      <c r="J11" s="468"/>
      <c r="K11" s="458"/>
      <c r="L11" s="3"/>
      <c r="M11" s="54"/>
      <c r="N11" s="4"/>
      <c r="O11" s="4"/>
      <c r="IR11" s="2"/>
    </row>
    <row r="12" spans="1:252" ht="15.75">
      <c r="A12" s="485"/>
      <c r="B12" s="487"/>
      <c r="C12" s="458"/>
      <c r="D12" s="458"/>
      <c r="E12" s="478"/>
      <c r="F12" s="478"/>
      <c r="G12" s="559" t="s">
        <v>1052</v>
      </c>
      <c r="H12" s="116"/>
      <c r="I12" s="459">
        <f>IF(Input!$B$6="","",IF(Input!$B$6="E","Degree F",IF(Input!$B$6="M","Degree C")))</f>
      </c>
      <c r="J12" s="468"/>
      <c r="K12" s="458"/>
      <c r="L12" s="3"/>
      <c r="M12" s="54"/>
      <c r="N12" s="4"/>
      <c r="O12" s="4"/>
      <c r="IR12" s="2"/>
    </row>
    <row r="13" spans="1:252" ht="12.75">
      <c r="A13" s="491" t="s">
        <v>776</v>
      </c>
      <c r="B13" s="476">
        <f>'Setup Bm Input'!F34</f>
        <v>0</v>
      </c>
      <c r="C13" s="458"/>
      <c r="D13" s="458"/>
      <c r="E13" s="478"/>
      <c r="F13" s="478"/>
      <c r="G13" s="559"/>
      <c r="H13" s="549"/>
      <c r="I13" s="459"/>
      <c r="J13" s="468"/>
      <c r="K13" s="458"/>
      <c r="L13" s="3"/>
      <c r="M13" s="54"/>
      <c r="N13" s="4"/>
      <c r="O13" s="4"/>
      <c r="IR13" s="2"/>
    </row>
    <row r="14" spans="1:252" ht="12.75">
      <c r="A14" s="506"/>
      <c r="B14" s="508"/>
      <c r="C14" s="458"/>
      <c r="D14" s="458"/>
      <c r="E14" s="478"/>
      <c r="F14" s="478"/>
      <c r="G14" s="559"/>
      <c r="H14" s="549"/>
      <c r="I14" s="459"/>
      <c r="J14" s="468"/>
      <c r="K14" s="458"/>
      <c r="L14" s="3"/>
      <c r="M14" s="54"/>
      <c r="N14" s="4"/>
      <c r="O14" s="4"/>
      <c r="IR14" s="2"/>
    </row>
    <row r="15" spans="1:252" ht="12.75">
      <c r="A15" s="458"/>
      <c r="B15" s="458"/>
      <c r="C15" s="458"/>
      <c r="D15" s="458"/>
      <c r="E15" s="478"/>
      <c r="F15" s="478"/>
      <c r="G15" s="559"/>
      <c r="H15" s="549"/>
      <c r="I15" s="459"/>
      <c r="J15" s="468"/>
      <c r="K15" s="458"/>
      <c r="L15" s="3"/>
      <c r="M15" s="54"/>
      <c r="N15" s="4"/>
      <c r="O15" s="4"/>
      <c r="IR15" s="2"/>
    </row>
    <row r="16" spans="1:252" ht="12.75">
      <c r="A16" s="459"/>
      <c r="B16" s="458"/>
      <c r="C16" s="458"/>
      <c r="D16" s="458"/>
      <c r="E16" s="494"/>
      <c r="F16" s="495"/>
      <c r="G16" s="468"/>
      <c r="H16" s="468"/>
      <c r="I16" s="468"/>
      <c r="J16" s="468"/>
      <c r="K16" s="468"/>
      <c r="L16" s="3"/>
      <c r="M16" s="54"/>
      <c r="N16" s="4"/>
      <c r="O16" s="4"/>
      <c r="IR16" s="2"/>
    </row>
    <row r="17" spans="1:252" ht="12.75">
      <c r="A17" s="459" t="s">
        <v>779</v>
      </c>
      <c r="B17" s="458"/>
      <c r="C17" s="458"/>
      <c r="D17" s="458"/>
      <c r="E17" s="518"/>
      <c r="F17" s="458"/>
      <c r="G17" s="579" t="str">
        <f>IF(B13="Yes","Thermal Correction Over Ridden, beds are self-stressing."," ")</f>
        <v> </v>
      </c>
      <c r="H17" s="580"/>
      <c r="I17" s="581"/>
      <c r="J17" s="581"/>
      <c r="K17" s="575"/>
      <c r="L17" s="3"/>
      <c r="M17" s="54"/>
      <c r="N17" s="4"/>
      <c r="O17" s="4"/>
      <c r="IR17" s="2"/>
    </row>
    <row r="18" spans="1:252" ht="12.75">
      <c r="A18" s="459" t="s">
        <v>1123</v>
      </c>
      <c r="B18" s="458"/>
      <c r="C18" s="458"/>
      <c r="D18" s="514"/>
      <c r="E18" s="518"/>
      <c r="F18" s="458"/>
      <c r="G18" s="468"/>
      <c r="H18" s="468"/>
      <c r="I18" s="468"/>
      <c r="J18" s="468"/>
      <c r="K18" s="468"/>
      <c r="L18" s="3"/>
      <c r="M18" s="54"/>
      <c r="N18" s="4"/>
      <c r="O18" s="4"/>
      <c r="IR18" s="2"/>
    </row>
    <row r="19" spans="1:252" ht="12.75">
      <c r="A19" s="458"/>
      <c r="B19" s="458"/>
      <c r="C19" s="458"/>
      <c r="D19" s="458"/>
      <c r="E19" s="458"/>
      <c r="F19" s="458"/>
      <c r="G19" s="480"/>
      <c r="H19" s="480"/>
      <c r="I19" s="480"/>
      <c r="J19" s="480"/>
      <c r="K19" s="480"/>
      <c r="L19" s="57"/>
      <c r="M19" s="57"/>
      <c r="N19" s="53"/>
      <c r="O19" s="53"/>
      <c r="IR19" s="2"/>
    </row>
    <row r="20" spans="1:252" ht="12.75">
      <c r="A20" s="458"/>
      <c r="B20" s="458"/>
      <c r="C20" s="458"/>
      <c r="D20" s="458"/>
      <c r="E20" s="458"/>
      <c r="F20" s="458"/>
      <c r="G20" s="480"/>
      <c r="H20" s="480"/>
      <c r="I20" s="480"/>
      <c r="J20" s="480"/>
      <c r="K20" s="480"/>
      <c r="L20" s="57"/>
      <c r="M20" s="57"/>
      <c r="N20" s="53"/>
      <c r="O20" s="53"/>
      <c r="IR20" s="2"/>
    </row>
    <row r="21" spans="1:252" ht="12.75">
      <c r="A21" s="552" t="s">
        <v>99</v>
      </c>
      <c r="B21" s="468"/>
      <c r="C21" s="468"/>
      <c r="D21" s="468"/>
      <c r="E21" s="468"/>
      <c r="F21" s="468"/>
      <c r="G21" s="468"/>
      <c r="H21" s="468"/>
      <c r="I21" s="468"/>
      <c r="J21" s="468"/>
      <c r="K21" s="468"/>
      <c r="L21" s="54"/>
      <c r="M21" s="54"/>
      <c r="N21" s="4"/>
      <c r="O21" s="4"/>
      <c r="IR21" s="2"/>
    </row>
    <row r="22" spans="1:252" ht="4.5" customHeight="1">
      <c r="A22" s="460"/>
      <c r="B22" s="460"/>
      <c r="C22" s="460"/>
      <c r="D22" s="460"/>
      <c r="E22" s="460"/>
      <c r="F22" s="460"/>
      <c r="G22" s="460"/>
      <c r="H22" s="460"/>
      <c r="I22" s="460"/>
      <c r="J22" s="460"/>
      <c r="K22" s="460"/>
      <c r="L22" s="54"/>
      <c r="M22" s="54"/>
      <c r="N22" s="4"/>
      <c r="O22" s="4"/>
      <c r="IR22" s="2"/>
    </row>
    <row r="23" spans="1:252" s="7" customFormat="1" ht="12.75" customHeight="1">
      <c r="A23" s="582" t="s">
        <v>96</v>
      </c>
      <c r="B23" s="553"/>
      <c r="C23" s="553"/>
      <c r="D23" s="553"/>
      <c r="E23" s="553"/>
      <c r="F23" s="553"/>
      <c r="G23" s="553"/>
      <c r="H23" s="553"/>
      <c r="I23" s="553"/>
      <c r="J23" s="7" t="str">
        <f>Main!J1</f>
        <v>Revised 4/22/16</v>
      </c>
      <c r="K23" s="553"/>
      <c r="L23" s="54"/>
      <c r="M23" s="54"/>
      <c r="N23" s="4"/>
      <c r="O23" s="4"/>
      <c r="IR23" s="4"/>
    </row>
    <row r="24" spans="1:252" ht="15" customHeight="1">
      <c r="A24" s="1027" t="s">
        <v>84</v>
      </c>
      <c r="B24" s="1028"/>
      <c r="C24" s="1028"/>
      <c r="D24" s="1028"/>
      <c r="E24" s="1028"/>
      <c r="F24" s="1028"/>
      <c r="G24" s="1028"/>
      <c r="H24" s="1028"/>
      <c r="I24" s="1028"/>
      <c r="J24" s="1028"/>
      <c r="K24" s="1028"/>
      <c r="L24" s="6"/>
      <c r="M24" s="54"/>
      <c r="N24" s="4"/>
      <c r="O24" s="4"/>
      <c r="IR24" s="2"/>
    </row>
    <row r="25" spans="1:252" ht="15" customHeight="1">
      <c r="A25" s="1029" t="s">
        <v>100</v>
      </c>
      <c r="B25" s="1028"/>
      <c r="C25" s="1028"/>
      <c r="D25" s="1028"/>
      <c r="E25" s="1028"/>
      <c r="F25" s="1028"/>
      <c r="G25" s="1028"/>
      <c r="H25" s="1028"/>
      <c r="I25" s="1028"/>
      <c r="J25" s="1028"/>
      <c r="K25" s="1028"/>
      <c r="L25" s="6"/>
      <c r="M25" s="54"/>
      <c r="N25" s="4"/>
      <c r="O25" s="4"/>
      <c r="IR25" s="2"/>
    </row>
    <row r="26" spans="1:252" ht="15" customHeight="1">
      <c r="A26" s="1029" t="s">
        <v>101</v>
      </c>
      <c r="B26" s="1028"/>
      <c r="C26" s="1028"/>
      <c r="D26" s="1028"/>
      <c r="E26" s="1028"/>
      <c r="F26" s="1028"/>
      <c r="G26" s="1028"/>
      <c r="H26" s="1028"/>
      <c r="I26" s="1028"/>
      <c r="J26" s="1028"/>
      <c r="K26" s="1028"/>
      <c r="L26" s="6"/>
      <c r="M26" s="54"/>
      <c r="N26" s="4"/>
      <c r="O26" s="4"/>
      <c r="IR26" s="2"/>
    </row>
    <row r="27" spans="1:15" ht="15" customHeight="1">
      <c r="A27" s="1029" t="s">
        <v>1089</v>
      </c>
      <c r="B27" s="1028"/>
      <c r="C27" s="1028"/>
      <c r="D27" s="1028"/>
      <c r="E27" s="1028"/>
      <c r="F27" s="1028"/>
      <c r="G27" s="1028"/>
      <c r="H27" s="1028"/>
      <c r="I27" s="1028"/>
      <c r="J27" s="1028"/>
      <c r="K27" s="1028"/>
      <c r="L27" s="6"/>
      <c r="M27" s="54"/>
      <c r="N27" s="4"/>
      <c r="O27" s="4"/>
    </row>
    <row r="28" spans="1:15" ht="19.5" customHeight="1">
      <c r="A28" s="461" t="s">
        <v>954</v>
      </c>
      <c r="B28" s="462">
        <f>IF(Input!$B$7="","",Input!$B$7)</f>
      </c>
      <c r="C28" s="463"/>
      <c r="D28" s="1023" t="s">
        <v>106</v>
      </c>
      <c r="E28" s="465">
        <v>1</v>
      </c>
      <c r="F28" s="466">
        <f>IF(Input!$C$64="","",Input!$C$64)</f>
      </c>
      <c r="G28" s="465">
        <v>5</v>
      </c>
      <c r="H28" s="466">
        <f>IF(Input!$E$64="","",Input!$E$64)</f>
      </c>
      <c r="I28" s="467" t="s">
        <v>559</v>
      </c>
      <c r="J28" s="471">
        <f>IF(H7="","",H7)</f>
      </c>
      <c r="K28" s="468"/>
      <c r="M28" s="4"/>
      <c r="N28" s="4"/>
      <c r="O28" s="4"/>
    </row>
    <row r="29" spans="1:15" ht="19.5" customHeight="1">
      <c r="A29" s="461" t="s">
        <v>102</v>
      </c>
      <c r="B29" s="462">
        <f>IF(Input!$B$8="","",Input!$B$8)</f>
      </c>
      <c r="C29" s="463"/>
      <c r="D29" s="1024"/>
      <c r="E29" s="465">
        <v>2</v>
      </c>
      <c r="F29" s="466">
        <f>IF(Input!$C$65="","",Input!$C$65)</f>
      </c>
      <c r="G29" s="465">
        <v>6</v>
      </c>
      <c r="H29" s="466">
        <f>IF(Input!$E$65="","",Input!$E$65)</f>
      </c>
      <c r="I29" s="470" t="s">
        <v>50</v>
      </c>
      <c r="J29" s="471">
        <f ca="1">TODAY()</f>
        <v>42480</v>
      </c>
      <c r="K29" s="468"/>
      <c r="M29" s="4"/>
      <c r="N29" s="4"/>
      <c r="O29" s="4"/>
    </row>
    <row r="30" spans="1:15" ht="19.5" customHeight="1">
      <c r="A30" s="461" t="s">
        <v>983</v>
      </c>
      <c r="B30" s="462">
        <f>IF(Input!$B$10="","",Input!$B$10)</f>
      </c>
      <c r="C30" s="463"/>
      <c r="D30" s="1024"/>
      <c r="E30" s="465">
        <v>3</v>
      </c>
      <c r="F30" s="466">
        <f>IF(Input!$C$66="","",Input!$C$66)</f>
      </c>
      <c r="G30" s="465">
        <v>7</v>
      </c>
      <c r="H30" s="466">
        <f>IF(Input!$E$66="","",Input!$E$66)</f>
      </c>
      <c r="I30" s="461" t="s">
        <v>976</v>
      </c>
      <c r="J30" s="472">
        <f>IF(Input!$B$30="","",Input!$B$30)</f>
      </c>
      <c r="K30" s="473"/>
      <c r="M30" s="4"/>
      <c r="N30" s="4"/>
      <c r="O30" s="4"/>
    </row>
    <row r="31" spans="1:15" ht="19.5" customHeight="1">
      <c r="A31" s="461" t="s">
        <v>955</v>
      </c>
      <c r="B31" s="462">
        <f>IF(Input!$E$5="","",Input!$E$5)</f>
      </c>
      <c r="C31" s="463"/>
      <c r="D31" s="1025"/>
      <c r="E31" s="465">
        <v>4</v>
      </c>
      <c r="F31" s="466">
        <f>IF(Input!$C$67="","",Input!$C$67)</f>
      </c>
      <c r="G31" s="465">
        <v>8</v>
      </c>
      <c r="H31" s="466">
        <f>IF(Input!$E$67="","",Input!$E$67)</f>
      </c>
      <c r="I31" s="461" t="s">
        <v>977</v>
      </c>
      <c r="J31" s="472">
        <f>IF(Input!$B$31="","",Input!$B$31)</f>
      </c>
      <c r="K31" s="473"/>
      <c r="M31" s="4"/>
      <c r="N31" s="4"/>
      <c r="O31" s="4"/>
    </row>
    <row r="32" spans="1:15" ht="19.5" customHeight="1">
      <c r="A32" s="475" t="s">
        <v>49</v>
      </c>
      <c r="B32" s="462">
        <f>IF(Input!$E$6="","",Input!$E$6)</f>
      </c>
      <c r="C32" s="463"/>
      <c r="D32" s="461" t="s">
        <v>1253</v>
      </c>
      <c r="E32" s="476">
        <f>IF(Input!$B$68="","",Input!$B$68)</f>
      </c>
      <c r="F32" s="477"/>
      <c r="G32" s="477"/>
      <c r="H32" s="477"/>
      <c r="I32" s="461" t="s">
        <v>972</v>
      </c>
      <c r="J32" s="472">
        <f>IF(Input!$B$32="","",Input!$B$32)</f>
      </c>
      <c r="K32" s="473"/>
      <c r="M32" s="4"/>
      <c r="N32" s="4"/>
      <c r="O32" s="4"/>
    </row>
    <row r="33" spans="1:15" ht="19.5" customHeight="1">
      <c r="A33" s="475" t="s">
        <v>105</v>
      </c>
      <c r="B33" s="462">
        <f>IF(Input!$E$7="","",Input!$E$7)</f>
      </c>
      <c r="C33" s="463"/>
      <c r="D33" s="461" t="s">
        <v>968</v>
      </c>
      <c r="E33" s="476">
        <f>IF('Setup Bm Input'!$A$46="","",'Setup Bm Input'!$A$46)</f>
      </c>
      <c r="F33" s="477"/>
      <c r="G33" s="477"/>
      <c r="H33" s="477"/>
      <c r="I33" s="461" t="s">
        <v>978</v>
      </c>
      <c r="J33" s="472">
        <f>IF(Input!$B$33="","",Input!$B$33)</f>
      </c>
      <c r="K33" s="473"/>
      <c r="M33" s="4"/>
      <c r="N33" s="4"/>
      <c r="O33" s="4"/>
    </row>
    <row r="34" spans="1:15" ht="19.5" customHeight="1">
      <c r="A34" s="475" t="s">
        <v>48</v>
      </c>
      <c r="B34" s="462">
        <f>IF(Input!$E$8="","",Input!$E$8)</f>
      </c>
      <c r="C34" s="463"/>
      <c r="D34" s="468"/>
      <c r="E34" s="468"/>
      <c r="F34" s="477"/>
      <c r="G34" s="477"/>
      <c r="H34" s="477"/>
      <c r="I34" s="461" t="s">
        <v>975</v>
      </c>
      <c r="J34" s="472">
        <f>IF(Input!$B$34="","",Input!$B$34)</f>
      </c>
      <c r="K34" s="473"/>
      <c r="M34" s="4"/>
      <c r="N34" s="4"/>
      <c r="O34" s="4"/>
    </row>
    <row r="35" spans="1:15" ht="19.5" customHeight="1">
      <c r="A35" s="461" t="s">
        <v>981</v>
      </c>
      <c r="B35" s="462">
        <f>IF(Input!$B$37="","",Input!$B$37)</f>
      </c>
      <c r="C35" s="463"/>
      <c r="D35" s="468"/>
      <c r="E35" s="468"/>
      <c r="F35" s="477"/>
      <c r="G35" s="477"/>
      <c r="H35" s="477"/>
      <c r="I35" s="461" t="s">
        <v>979</v>
      </c>
      <c r="J35" s="472">
        <f>IF(Input!$B$35="","",Input!$B$35)</f>
      </c>
      <c r="K35" s="473"/>
      <c r="M35" s="4"/>
      <c r="N35" s="4"/>
      <c r="O35" s="4"/>
    </row>
    <row r="36" spans="1:15" ht="19.5" customHeight="1">
      <c r="A36" s="461" t="s">
        <v>97</v>
      </c>
      <c r="B36" s="538"/>
      <c r="C36" s="539"/>
      <c r="D36" s="468"/>
      <c r="E36" s="468"/>
      <c r="F36" s="477"/>
      <c r="G36" s="477"/>
      <c r="H36" s="477"/>
      <c r="I36" s="461" t="s">
        <v>980</v>
      </c>
      <c r="J36" s="472">
        <f>IF(Input!$B$36="","",Input!$B$36)</f>
      </c>
      <c r="K36" s="473"/>
      <c r="M36" s="4"/>
      <c r="N36" s="4"/>
      <c r="O36" s="4"/>
    </row>
    <row r="37" spans="1:15" ht="19.5" customHeight="1">
      <c r="A37" s="461" t="s">
        <v>103</v>
      </c>
      <c r="B37" s="462">
        <f>IF(Input!$B$9="","",Input!$B$9)</f>
      </c>
      <c r="C37" s="463"/>
      <c r="D37" s="468"/>
      <c r="E37" s="468"/>
      <c r="F37" s="477"/>
      <c r="G37" s="477"/>
      <c r="H37" s="477"/>
      <c r="I37" s="478"/>
      <c r="J37" s="479"/>
      <c r="K37" s="480"/>
      <c r="M37" s="4"/>
      <c r="N37" s="4"/>
      <c r="O37" s="4"/>
    </row>
    <row r="38" spans="1:15" ht="19.5" customHeight="1">
      <c r="A38" s="461" t="s">
        <v>104</v>
      </c>
      <c r="B38" s="481">
        <f>'Setup Bm Input'!$B$34</f>
      </c>
      <c r="C38" s="463">
        <f>IF(Input!$B$6="","",IF(Input!$B$6="E","in.",IF(Input!$B$6="M","mm")))</f>
      </c>
      <c r="D38" s="468"/>
      <c r="E38" s="468"/>
      <c r="F38" s="477"/>
      <c r="G38" s="477"/>
      <c r="H38" s="477"/>
      <c r="I38" s="482"/>
      <c r="J38" s="483"/>
      <c r="K38" s="480"/>
      <c r="M38" s="4"/>
      <c r="N38" s="4"/>
      <c r="O38" s="4"/>
    </row>
    <row r="39" spans="1:15" ht="19.5" customHeight="1">
      <c r="A39" s="554"/>
      <c r="B39" s="555"/>
      <c r="C39" s="555"/>
      <c r="D39" s="468"/>
      <c r="E39" s="468"/>
      <c r="F39" s="477"/>
      <c r="G39" s="477"/>
      <c r="H39" s="477"/>
      <c r="I39" s="482"/>
      <c r="J39" s="483"/>
      <c r="K39" s="480"/>
      <c r="M39" s="4"/>
      <c r="N39" s="4"/>
      <c r="O39" s="4"/>
    </row>
    <row r="40" spans="1:15" ht="19.5" customHeight="1">
      <c r="A40" s="468"/>
      <c r="B40" s="468"/>
      <c r="C40" s="468"/>
      <c r="D40" s="468"/>
      <c r="E40" s="468"/>
      <c r="F40" s="468"/>
      <c r="G40" s="468"/>
      <c r="H40" s="468"/>
      <c r="I40" s="468"/>
      <c r="J40" s="468"/>
      <c r="K40" s="468"/>
      <c r="L40" s="3"/>
      <c r="M40" s="54"/>
      <c r="N40" s="4"/>
      <c r="O40" s="4"/>
    </row>
    <row r="41" spans="1:15" ht="15.75" customHeight="1">
      <c r="A41" s="1033" t="s">
        <v>107</v>
      </c>
      <c r="B41" s="1034"/>
      <c r="C41" s="1034"/>
      <c r="D41" s="1034"/>
      <c r="E41" s="1034"/>
      <c r="F41" s="1034"/>
      <c r="G41" s="1034"/>
      <c r="H41" s="1034"/>
      <c r="I41" s="1034"/>
      <c r="J41" s="1034"/>
      <c r="K41" s="1034"/>
      <c r="L41" s="52"/>
      <c r="M41" s="54"/>
      <c r="N41" s="4"/>
      <c r="O41" s="4"/>
    </row>
    <row r="42" spans="1:15" ht="15.75" customHeight="1">
      <c r="A42" s="468"/>
      <c r="B42" s="493" t="s">
        <v>1069</v>
      </c>
      <c r="C42" s="458"/>
      <c r="D42" s="458"/>
      <c r="E42" s="458"/>
      <c r="F42" s="458"/>
      <c r="G42" s="459" t="s">
        <v>1094</v>
      </c>
      <c r="H42" s="458"/>
      <c r="I42" s="459"/>
      <c r="J42" s="468"/>
      <c r="K42" s="468"/>
      <c r="L42" s="3"/>
      <c r="M42" s="54"/>
      <c r="N42" s="4"/>
      <c r="O42" s="4"/>
    </row>
    <row r="43" spans="1:15" ht="15.75" customHeight="1">
      <c r="A43" s="468"/>
      <c r="B43" s="459" t="s">
        <v>1066</v>
      </c>
      <c r="C43" s="468"/>
      <c r="D43" s="468"/>
      <c r="E43" s="468"/>
      <c r="F43" s="458"/>
      <c r="G43" s="459" t="s">
        <v>1077</v>
      </c>
      <c r="H43" s="458"/>
      <c r="I43" s="458"/>
      <c r="J43" s="458"/>
      <c r="K43" s="458"/>
      <c r="L43" s="3"/>
      <c r="M43" s="54"/>
      <c r="N43" s="4"/>
      <c r="O43" s="4"/>
    </row>
    <row r="44" spans="1:15" ht="15.75" customHeight="1">
      <c r="A44" s="468"/>
      <c r="B44" s="459" t="s">
        <v>768</v>
      </c>
      <c r="C44" s="468"/>
      <c r="D44" s="468"/>
      <c r="E44" s="468"/>
      <c r="F44" s="458"/>
      <c r="G44" s="459" t="s">
        <v>1038</v>
      </c>
      <c r="H44" s="468"/>
      <c r="I44" s="459"/>
      <c r="J44" s="458"/>
      <c r="K44" s="458"/>
      <c r="L44" s="3"/>
      <c r="M44" s="54"/>
      <c r="N44" s="4"/>
      <c r="O44" s="4"/>
    </row>
    <row r="45" spans="1:15" ht="15.75" customHeight="1">
      <c r="A45" s="468"/>
      <c r="B45" s="459" t="s">
        <v>1067</v>
      </c>
      <c r="C45" s="468"/>
      <c r="D45" s="468"/>
      <c r="E45" s="468"/>
      <c r="F45" s="458"/>
      <c r="G45" s="459" t="s">
        <v>1039</v>
      </c>
      <c r="H45" s="468"/>
      <c r="I45" s="459"/>
      <c r="J45" s="458"/>
      <c r="K45" s="458"/>
      <c r="L45" s="3"/>
      <c r="M45" s="54"/>
      <c r="N45" s="4"/>
      <c r="O45" s="4"/>
    </row>
    <row r="46" spans="1:15" ht="15.75" customHeight="1">
      <c r="A46" s="468"/>
      <c r="B46" s="459" t="s">
        <v>812</v>
      </c>
      <c r="C46" s="468"/>
      <c r="D46" s="468"/>
      <c r="E46" s="468"/>
      <c r="F46" s="458"/>
      <c r="G46" s="459" t="s">
        <v>1040</v>
      </c>
      <c r="H46" s="468"/>
      <c r="I46" s="458"/>
      <c r="J46" s="458"/>
      <c r="K46" s="458"/>
      <c r="L46" s="3"/>
      <c r="M46" s="54"/>
      <c r="N46" s="4"/>
      <c r="O46" s="4"/>
    </row>
    <row r="47" spans="1:15" ht="15.75" customHeight="1">
      <c r="A47" s="556"/>
      <c r="B47" s="458"/>
      <c r="C47" s="556"/>
      <c r="D47" s="556"/>
      <c r="E47" s="556"/>
      <c r="F47" s="556"/>
      <c r="G47" s="556"/>
      <c r="H47" s="556"/>
      <c r="I47" s="556"/>
      <c r="J47" s="556"/>
      <c r="K47" s="556"/>
      <c r="L47" s="56"/>
      <c r="M47" s="54"/>
      <c r="N47" s="4"/>
      <c r="O47" s="4"/>
    </row>
    <row r="48" spans="1:15" ht="15.75" customHeight="1">
      <c r="A48" s="1035" t="s">
        <v>1091</v>
      </c>
      <c r="B48" s="1036"/>
      <c r="C48" s="1036"/>
      <c r="D48" s="1036"/>
      <c r="E48" s="1036"/>
      <c r="F48" s="1036"/>
      <c r="G48" s="1036"/>
      <c r="H48" s="1036"/>
      <c r="I48" s="1036"/>
      <c r="J48" s="1036"/>
      <c r="K48" s="1036"/>
      <c r="L48" s="52"/>
      <c r="M48" s="54"/>
      <c r="N48" s="4"/>
      <c r="O48" s="4"/>
    </row>
    <row r="49" spans="1:15" ht="15.75" customHeight="1">
      <c r="A49" s="468"/>
      <c r="B49" s="458"/>
      <c r="C49" s="458"/>
      <c r="D49" s="458"/>
      <c r="E49" s="458"/>
      <c r="F49" s="468"/>
      <c r="G49" s="468"/>
      <c r="H49" s="468"/>
      <c r="I49" s="537"/>
      <c r="J49" s="537"/>
      <c r="K49" s="537"/>
      <c r="L49" s="56"/>
      <c r="M49" s="54"/>
      <c r="N49" s="4"/>
      <c r="O49" s="4"/>
    </row>
    <row r="50" spans="1:15" ht="15.75" customHeight="1">
      <c r="A50" s="458"/>
      <c r="B50" s="459" t="s">
        <v>1070</v>
      </c>
      <c r="C50" s="583" t="s">
        <v>1086</v>
      </c>
      <c r="D50" s="528" t="s">
        <v>1068</v>
      </c>
      <c r="E50" s="584">
        <f>IF(Input!$B$6="","",IF(Input!$B$6="E","in.",IF(Input!$B$6="M","mm")))</f>
      </c>
      <c r="F50" s="459" t="s">
        <v>1028</v>
      </c>
      <c r="G50" s="320" t="s">
        <v>1072</v>
      </c>
      <c r="H50" s="65" t="s">
        <v>1073</v>
      </c>
      <c r="I50" s="532">
        <f>IF(Input!$B$6="","",IF(Input!$B$6="E","lbs.",IF(Input!$B$6="M","N")))</f>
      </c>
      <c r="J50" s="458"/>
      <c r="K50" s="585"/>
      <c r="L50" s="58"/>
      <c r="M50" s="54"/>
      <c r="N50" s="4"/>
      <c r="O50" s="4"/>
    </row>
    <row r="51" spans="1:15" ht="15.75" customHeight="1">
      <c r="A51" s="458"/>
      <c r="B51" s="458"/>
      <c r="C51" s="458"/>
      <c r="D51" s="458"/>
      <c r="E51" s="458"/>
      <c r="F51" s="459" t="s">
        <v>1003</v>
      </c>
      <c r="G51" s="572"/>
      <c r="H51" s="458"/>
      <c r="I51" s="585"/>
      <c r="J51" s="458"/>
      <c r="K51" s="585"/>
      <c r="L51" s="58"/>
      <c r="M51" s="54"/>
      <c r="N51" s="4"/>
      <c r="O51" s="4"/>
    </row>
    <row r="52" spans="1:15" ht="15.75" customHeight="1">
      <c r="A52" s="458"/>
      <c r="B52" s="458"/>
      <c r="C52" s="458"/>
      <c r="D52" s="458"/>
      <c r="E52" s="458"/>
      <c r="F52" s="459" t="s">
        <v>1071</v>
      </c>
      <c r="G52" s="458"/>
      <c r="H52" s="458"/>
      <c r="I52" s="585"/>
      <c r="J52" s="458"/>
      <c r="K52" s="585"/>
      <c r="L52" s="58"/>
      <c r="M52" s="54"/>
      <c r="N52" s="4"/>
      <c r="O52" s="4"/>
    </row>
    <row r="53" spans="1:15" ht="15.75" customHeight="1">
      <c r="A53" s="458"/>
      <c r="B53" s="458"/>
      <c r="C53" s="458"/>
      <c r="D53" s="458"/>
      <c r="E53" s="458"/>
      <c r="F53" s="458"/>
      <c r="G53" s="458"/>
      <c r="H53" s="458"/>
      <c r="I53" s="458"/>
      <c r="J53" s="458"/>
      <c r="K53" s="585"/>
      <c r="L53" s="58"/>
      <c r="M53" s="54"/>
      <c r="N53" s="4"/>
      <c r="O53" s="4"/>
    </row>
    <row r="54" spans="1:15" ht="15.75" customHeight="1">
      <c r="A54" s="485"/>
      <c r="B54" s="487"/>
      <c r="C54" s="583" t="s">
        <v>108</v>
      </c>
      <c r="D54" s="586">
        <f>IF(Input!B6="","",IF(Input!B6="E",0.0000065,IF(Input!B6="M",0.0000117)))</f>
      </c>
      <c r="E54" s="587">
        <f>IF(Input!$B$6="","",IF(Input!$B$6="E","in. per in. of strand per Degree F",IF(Input!$B$6="M","mm per mm of strand per Degree C")))</f>
      </c>
      <c r="F54" s="585"/>
      <c r="G54" s="458"/>
      <c r="H54" s="583" t="s">
        <v>1088</v>
      </c>
      <c r="I54" s="588">
        <f>IF(H12="","",IF('Setup Bm Input'!F34="Yes",0,+H12))</f>
      </c>
      <c r="J54" s="589">
        <f>IF(Input!$B$6="","",IF(Input!$B$6="E","Degree F",IF(Input!$B$6="M","Degree C")))</f>
      </c>
      <c r="K54" s="585"/>
      <c r="L54" s="58"/>
      <c r="M54" s="54"/>
      <c r="N54" s="4"/>
      <c r="O54" s="4"/>
    </row>
    <row r="55" spans="1:15" ht="15.75" customHeight="1">
      <c r="A55" s="503" t="s">
        <v>1012</v>
      </c>
      <c r="B55" s="497"/>
      <c r="C55" s="458"/>
      <c r="D55" s="458"/>
      <c r="E55" s="458"/>
      <c r="F55" s="458"/>
      <c r="G55" s="458"/>
      <c r="H55" s="458"/>
      <c r="I55" s="458"/>
      <c r="J55" s="458"/>
      <c r="K55" s="585"/>
      <c r="L55" s="58"/>
      <c r="M55" s="54"/>
      <c r="N55" s="4"/>
      <c r="O55" s="60" t="s">
        <v>1085</v>
      </c>
    </row>
    <row r="56" spans="1:15" ht="15.75" customHeight="1">
      <c r="A56" s="491" t="s">
        <v>1008</v>
      </c>
      <c r="B56" s="476">
        <f>IF('Setup Bm Input'!F29="","",'Setup Bm Input'!F29)</f>
      </c>
      <c r="C56" s="583" t="s">
        <v>1087</v>
      </c>
      <c r="D56" s="588">
        <f>IF(H10="","",H10)</f>
      </c>
      <c r="E56" s="587">
        <f>IF(Input!$B$6="","",IF(Input!$B$6="E","Degree F",IF(Input!$B$6="M","Degree C")))</f>
      </c>
      <c r="F56" s="458"/>
      <c r="G56" s="583" t="s">
        <v>109</v>
      </c>
      <c r="H56" s="528" t="s">
        <v>1010</v>
      </c>
      <c r="I56" s="590">
        <f>IF(I54="","",IF(D56="","",I54-D56))</f>
      </c>
      <c r="J56" s="992">
        <f>IF(Input!$B$6="","",IF(Input!$B$6="E","Degree F",IF(Input!$B$6="M","Degree C")))</f>
      </c>
      <c r="K56" s="585"/>
      <c r="L56" s="58"/>
      <c r="M56" s="54"/>
      <c r="N56" s="4"/>
      <c r="O56" s="993" t="e">
        <f>IF(Input!$B$6="E",I56,(1.8*I56))</f>
        <v>#VALUE!</v>
      </c>
    </row>
    <row r="57" spans="1:15" ht="15.75" customHeight="1">
      <c r="A57" s="506"/>
      <c r="B57" s="508"/>
      <c r="C57" s="458"/>
      <c r="D57" s="591"/>
      <c r="E57" s="592"/>
      <c r="F57" s="593"/>
      <c r="G57" s="593"/>
      <c r="H57" s="594"/>
      <c r="I57" s="595"/>
      <c r="J57" s="595"/>
      <c r="K57" s="585"/>
      <c r="L57" s="58"/>
      <c r="M57" s="54"/>
      <c r="N57" s="4"/>
      <c r="O57" s="4"/>
    </row>
    <row r="58" spans="1:15" ht="15.75" customHeight="1">
      <c r="A58" s="458"/>
      <c r="B58" s="458"/>
      <c r="C58" s="559" t="s">
        <v>1055</v>
      </c>
      <c r="D58" s="525">
        <f>IF('Setup Bm Input'!B34="","",'Setup Bm Input'!B34)</f>
      </c>
      <c r="E58" s="532">
        <f>IF(Input!$B$6="","",IF(Input!$B$6="E","in.",IF(Input!$B$6="M","mm")))</f>
      </c>
      <c r="F58" s="593"/>
      <c r="G58" s="458"/>
      <c r="H58" s="559" t="s">
        <v>1081</v>
      </c>
      <c r="I58" s="596">
        <f>'Setup Bm Input'!B29</f>
        <v>0</v>
      </c>
      <c r="J58" s="532">
        <f>IF(Input!$B$6="","",IF(Input!$B$6="E","lbs.",IF(Input!$B$6="M","N")))</f>
      </c>
      <c r="K58" s="585"/>
      <c r="L58" s="58"/>
      <c r="M58" s="54"/>
      <c r="N58" s="4"/>
      <c r="O58" s="4"/>
    </row>
    <row r="59" spans="1:15" ht="15.75" customHeight="1">
      <c r="A59" s="458"/>
      <c r="B59" s="458"/>
      <c r="C59" s="458"/>
      <c r="D59" s="458"/>
      <c r="E59" s="458"/>
      <c r="F59" s="458"/>
      <c r="G59" s="458"/>
      <c r="H59" s="458"/>
      <c r="I59" s="458"/>
      <c r="J59" s="468"/>
      <c r="K59" s="468"/>
      <c r="L59" s="3"/>
      <c r="M59" s="54"/>
      <c r="N59" s="4"/>
      <c r="O59" s="4"/>
    </row>
    <row r="60" spans="1:15" ht="15.75" customHeight="1">
      <c r="A60" s="459" t="s">
        <v>777</v>
      </c>
      <c r="B60" s="458"/>
      <c r="C60" s="458"/>
      <c r="D60" s="458"/>
      <c r="E60" s="458"/>
      <c r="F60" s="458"/>
      <c r="G60" s="458"/>
      <c r="H60" s="458"/>
      <c r="I60" s="458"/>
      <c r="J60" s="458"/>
      <c r="K60" s="458"/>
      <c r="M60" s="54"/>
      <c r="N60" s="4"/>
      <c r="O60" s="4"/>
    </row>
    <row r="61" spans="1:15" ht="15.75" customHeight="1">
      <c r="A61" s="459" t="s">
        <v>770</v>
      </c>
      <c r="B61" s="458"/>
      <c r="C61" s="458"/>
      <c r="D61" s="458"/>
      <c r="E61" s="458"/>
      <c r="F61" s="458"/>
      <c r="G61" s="966">
        <f>+IF(B13="Yes","Thermal Correction Overridden","")</f>
      </c>
      <c r="H61" s="966"/>
      <c r="I61" s="458"/>
      <c r="J61" s="458"/>
      <c r="K61" s="458"/>
      <c r="M61" s="54"/>
      <c r="N61" s="4"/>
      <c r="O61" s="4"/>
    </row>
    <row r="62" spans="1:17" ht="15.75" customHeight="1">
      <c r="A62" s="65" t="s">
        <v>764</v>
      </c>
      <c r="B62" s="458"/>
      <c r="C62" s="458"/>
      <c r="D62" s="458"/>
      <c r="E62" s="458"/>
      <c r="F62" s="458"/>
      <c r="G62" s="966">
        <f>+IF(B13="Yes","Beds are Self-Stressing","")</f>
      </c>
      <c r="H62" s="966"/>
      <c r="I62" s="458"/>
      <c r="J62" s="458"/>
      <c r="K62" s="458"/>
      <c r="M62" s="54"/>
      <c r="N62" s="4"/>
      <c r="O62" s="4"/>
      <c r="P62" s="38" t="s">
        <v>997</v>
      </c>
      <c r="Q62" s="38" t="s">
        <v>1084</v>
      </c>
    </row>
    <row r="63" spans="1:16" ht="15.75" customHeight="1">
      <c r="A63" s="65" t="s">
        <v>766</v>
      </c>
      <c r="B63" s="458"/>
      <c r="C63" s="458"/>
      <c r="D63" s="458"/>
      <c r="E63" s="458"/>
      <c r="F63" s="458"/>
      <c r="G63" s="458"/>
      <c r="H63" s="458"/>
      <c r="I63" s="458"/>
      <c r="J63" s="458"/>
      <c r="K63" s="458"/>
      <c r="M63" s="54"/>
      <c r="N63" s="4"/>
      <c r="O63" s="60" t="s">
        <v>1082</v>
      </c>
      <c r="P63" s="38" t="s">
        <v>1083</v>
      </c>
    </row>
    <row r="64" spans="1:17" ht="15.75" customHeight="1">
      <c r="A64" s="65" t="s">
        <v>765</v>
      </c>
      <c r="B64" s="458"/>
      <c r="C64" s="458"/>
      <c r="D64" s="458"/>
      <c r="E64" s="458"/>
      <c r="F64" s="458"/>
      <c r="G64" s="458"/>
      <c r="H64" s="458"/>
      <c r="I64" s="458"/>
      <c r="J64" s="458"/>
      <c r="K64" s="458"/>
      <c r="L64" s="2"/>
      <c r="M64" s="54"/>
      <c r="N64" s="4"/>
      <c r="O64" s="33" t="e">
        <f>IF($D$54*$D$58*$I$56&lt;0,"",$D$54*$D$58*$I$56)</f>
        <v>#VALUE!</v>
      </c>
      <c r="P64">
        <f>IF($B$9="Yes",O64,"")</f>
      </c>
      <c r="Q64" t="e">
        <f>IF($O$56&gt;25,O64,"")</f>
        <v>#VALUE!</v>
      </c>
    </row>
    <row r="65" spans="1:17" ht="15.75" customHeight="1">
      <c r="A65" s="458"/>
      <c r="B65" s="561"/>
      <c r="C65" s="561"/>
      <c r="D65" s="561"/>
      <c r="E65" s="561"/>
      <c r="F65" s="524" t="s">
        <v>1075</v>
      </c>
      <c r="G65" s="524" t="s">
        <v>1076</v>
      </c>
      <c r="H65" s="458"/>
      <c r="I65" s="458"/>
      <c r="J65" s="458"/>
      <c r="K65" s="458"/>
      <c r="L65" s="56"/>
      <c r="M65" s="54"/>
      <c r="N65" s="4"/>
      <c r="O65" s="33" t="e">
        <f>IF($D$54*$D$58*$I$56&lt;0,"",$D$54*$D$58*$I$56)</f>
        <v>#VALUE!</v>
      </c>
      <c r="P65">
        <f>IF($B$9="Yes",O65,"")</f>
      </c>
      <c r="Q65" t="e">
        <f>IF($O$56&gt;25,O65,"")</f>
        <v>#VALUE!</v>
      </c>
    </row>
    <row r="66" spans="1:17" ht="15.75" customHeight="1">
      <c r="A66" s="458"/>
      <c r="B66" s="458"/>
      <c r="C66" s="458"/>
      <c r="D66" s="458"/>
      <c r="E66" s="458"/>
      <c r="F66" s="562" t="s">
        <v>1074</v>
      </c>
      <c r="G66" s="563" t="s">
        <v>1007</v>
      </c>
      <c r="H66" s="597" t="s">
        <v>110</v>
      </c>
      <c r="I66" s="516" t="s">
        <v>110</v>
      </c>
      <c r="J66" s="458"/>
      <c r="K66" s="458"/>
      <c r="L66" s="56"/>
      <c r="M66" s="54"/>
      <c r="N66" s="4"/>
      <c r="O66" s="33" t="e">
        <f>IF($D$54*$D$58*$I$56&lt;0,"",$D$54*$D$58*$I$56)</f>
        <v>#VALUE!</v>
      </c>
      <c r="P66">
        <f>IF($B$9="Yes",O66,"")</f>
      </c>
      <c r="Q66" t="e">
        <f>IF($O$56&gt;25,O66,"")</f>
        <v>#VALUE!</v>
      </c>
    </row>
    <row r="67" spans="1:17" ht="15.75" customHeight="1">
      <c r="A67" s="458"/>
      <c r="B67" s="458"/>
      <c r="C67" s="458"/>
      <c r="D67" s="524" t="s">
        <v>1022</v>
      </c>
      <c r="E67" s="598" t="s">
        <v>1023</v>
      </c>
      <c r="F67" s="564" t="s">
        <v>1006</v>
      </c>
      <c r="G67" s="564" t="s">
        <v>1006</v>
      </c>
      <c r="H67" s="599" t="s">
        <v>1003</v>
      </c>
      <c r="I67" s="517" t="s">
        <v>1003</v>
      </c>
      <c r="J67" s="458"/>
      <c r="K67" s="458"/>
      <c r="L67" s="56"/>
      <c r="M67" s="54"/>
      <c r="N67" s="4"/>
      <c r="O67" s="33" t="e">
        <f>IF($D$54*$D$58*$I$56&lt;0,"",$D$54*$D$58*$I$56)</f>
        <v>#VALUE!</v>
      </c>
      <c r="P67">
        <f>IF($B$9="Yes",O67,"")</f>
      </c>
      <c r="Q67" t="e">
        <f>IF($O$56&gt;25,O67,"")</f>
        <v>#VALUE!</v>
      </c>
    </row>
    <row r="68" spans="1:15" ht="15.75" customHeight="1">
      <c r="A68" s="458"/>
      <c r="B68" s="565" t="s">
        <v>112</v>
      </c>
      <c r="C68" s="525" t="s">
        <v>114</v>
      </c>
      <c r="D68" s="525">
        <f>IF(Input!$B$6="","",IF(Input!$B$6="E","Area (sq. in.)",IF(Input!$B$6="M","Area (sq. mm)")))</f>
      </c>
      <c r="E68" s="566">
        <f>IF(Input!$B$6="","",IF(Input!$B$6="E","Mod. El. (psi)",IF(Input!$B$6="M","Mod. El. (kPA)")))</f>
      </c>
      <c r="F68" s="600">
        <f>IF(Input!$B$6="","",IF(Input!$B$6="E","Strand (in.)",IF(Input!$B$6="M","Strand (mm)")))</f>
      </c>
      <c r="G68" s="601">
        <f>IF(Input!$B$6="","",IF(Input!$B$6="E","Strand (lbs.)",IF(Input!$B$6="M","Strand (N)")))</f>
      </c>
      <c r="H68" s="602" t="s">
        <v>1079</v>
      </c>
      <c r="I68" s="603" t="s">
        <v>1080</v>
      </c>
      <c r="J68" s="604"/>
      <c r="K68" s="605"/>
      <c r="L68" s="56"/>
      <c r="M68" s="54"/>
      <c r="N68" s="4"/>
      <c r="O68" s="4"/>
    </row>
    <row r="69" spans="1:15" ht="19.5" customHeight="1">
      <c r="A69" s="458"/>
      <c r="B69" s="525" t="s">
        <v>90</v>
      </c>
      <c r="C69" s="558">
        <f>IF('Setup Bm Input'!B63="","",'Setup Bm Input'!B63)</f>
      </c>
      <c r="D69" s="568">
        <f>IF('Setup Bm Input'!D63="","",'Setup Bm Input'!D63)</f>
      </c>
      <c r="E69" s="558">
        <f>IF('Setup Bm Input'!E63="","",'Setup Bm Input'!E63)</f>
      </c>
      <c r="F69" s="560">
        <f>IF($I$56="","",IF(D69="","",IF($B$9="Yes",P64,Q64)))</f>
      </c>
      <c r="G69" s="569">
        <f>IF(F69="","",IF(Input!$B$6="E",E69*F69*D69/$D$58,E69*F69*D69/$D$58/1000))</f>
      </c>
      <c r="H69" s="607">
        <f>IF(G69="","",(G69/$I$58)*100)</f>
      </c>
      <c r="I69" s="608">
        <f>IF(H69="","",IF(H69&lt;5.000001,"OK","No Good"))</f>
      </c>
      <c r="J69" s="609"/>
      <c r="K69" s="537"/>
      <c r="L69" s="56"/>
      <c r="M69" s="54"/>
      <c r="N69" s="4"/>
      <c r="O69" s="4"/>
    </row>
    <row r="70" spans="1:15" ht="19.5" customHeight="1">
      <c r="A70" s="458"/>
      <c r="B70" s="525" t="s">
        <v>91</v>
      </c>
      <c r="C70" s="558">
        <f>IF('Setup Bm Input'!B64="","",'Setup Bm Input'!B64)</f>
      </c>
      <c r="D70" s="558">
        <f>IF('Setup Bm Input'!D64="","",'Setup Bm Input'!D64)</f>
      </c>
      <c r="E70" s="558">
        <f>IF('Setup Bm Input'!E64="","",'Setup Bm Input'!E64)</f>
      </c>
      <c r="F70" s="560">
        <f>IF($I$56="","",IF(D70="","",IF($B$9="Yes",P65,Q65)))</f>
      </c>
      <c r="G70" s="569">
        <f>IF(F70="","",IF(Input!$B$6="E",E70*F70*D70/$D$58,E70*F70*D70/$D$58/1000))</f>
      </c>
      <c r="H70" s="607">
        <f>IF(G70="","",(G70/$I$58)*100)</f>
      </c>
      <c r="I70" s="608">
        <f>IF(H70="","",IF(H70&lt;5.000001,"OK","No Good"))</f>
      </c>
      <c r="J70" s="468"/>
      <c r="K70" s="468"/>
      <c r="L70" s="56"/>
      <c r="M70" s="54"/>
      <c r="N70" s="4"/>
      <c r="O70" s="4"/>
    </row>
    <row r="71" spans="1:15" ht="19.5" customHeight="1">
      <c r="A71" s="458"/>
      <c r="B71" s="525" t="s">
        <v>92</v>
      </c>
      <c r="C71" s="558">
        <f>IF('Setup Bm Input'!B65="","",'Setup Bm Input'!B65)</f>
      </c>
      <c r="D71" s="558">
        <f>IF('Setup Bm Input'!D65="","",'Setup Bm Input'!D65)</f>
      </c>
      <c r="E71" s="558">
        <f>IF('Setup Bm Input'!E65="","",'Setup Bm Input'!E65)</f>
      </c>
      <c r="F71" s="560">
        <f>IF($I$56="","",IF(D71="","",IF($B$9="Yes",P66,Q66)))</f>
      </c>
      <c r="G71" s="569">
        <f>IF(F71="","",IF(Input!$B$6="E",E71*F71*D71/$D$58,E71*F71*D71/$D$58/1000))</f>
      </c>
      <c r="H71" s="607">
        <f>IF(G71="","",(G71/$I$58)*100)</f>
      </c>
      <c r="I71" s="608">
        <f>IF(H71="","",IF(H71&lt;5.000001,"OK","No Good"))</f>
      </c>
      <c r="J71" s="458"/>
      <c r="K71" s="458"/>
      <c r="L71" s="56"/>
      <c r="M71" s="54"/>
      <c r="N71" s="4"/>
      <c r="O71" s="4"/>
    </row>
    <row r="72" spans="1:15" ht="19.5" customHeight="1">
      <c r="A72" s="458"/>
      <c r="B72" s="525" t="s">
        <v>93</v>
      </c>
      <c r="C72" s="558">
        <f>IF('Setup Bm Input'!B66="","",'Setup Bm Input'!B66)</f>
      </c>
      <c r="D72" s="558">
        <f>IF('Setup Bm Input'!D66="","",'Setup Bm Input'!D66)</f>
      </c>
      <c r="E72" s="558">
        <f>IF('Setup Bm Input'!E66="","",'Setup Bm Input'!E66)</f>
      </c>
      <c r="F72" s="560">
        <f>IF($I$56="","",IF(D72="","",IF($B$9="Yes",P67,Q67)))</f>
      </c>
      <c r="G72" s="569">
        <f>IF(F72="","",IF(Input!$B$6="E",E72*F72*D72/$D$58,E72*F72*D72/$D$58/1000))</f>
      </c>
      <c r="H72" s="607">
        <f>IF(G72="","",(G72/$I$58)*100)</f>
      </c>
      <c r="I72" s="608">
        <f>IF(H72="","",IF(H72&lt;5.000001,"OK","No Good"))</f>
      </c>
      <c r="J72" s="458"/>
      <c r="K72" s="458"/>
      <c r="L72" s="56"/>
      <c r="M72" s="54"/>
      <c r="N72" s="4"/>
      <c r="O72" s="4"/>
    </row>
    <row r="73" spans="1:15" ht="19.5" customHeight="1">
      <c r="A73" s="458"/>
      <c r="B73" s="458"/>
      <c r="C73" s="458"/>
      <c r="D73" s="458"/>
      <c r="E73" s="458"/>
      <c r="F73" s="458"/>
      <c r="G73" s="458"/>
      <c r="H73" s="458"/>
      <c r="I73" s="458"/>
      <c r="J73" s="458"/>
      <c r="K73" s="458"/>
      <c r="L73" s="56"/>
      <c r="M73" s="54"/>
      <c r="N73" s="4"/>
      <c r="O73" s="4"/>
    </row>
    <row r="74" spans="1:15" ht="15.75">
      <c r="A74" s="574" t="s">
        <v>1078</v>
      </c>
      <c r="B74" s="468"/>
      <c r="C74" s="468"/>
      <c r="D74" s="468"/>
      <c r="E74" s="468"/>
      <c r="F74" s="468"/>
      <c r="G74" s="468"/>
      <c r="H74" s="468"/>
      <c r="I74" s="468"/>
      <c r="J74" s="468"/>
      <c r="K74" s="468"/>
      <c r="L74" s="56"/>
      <c r="N74" s="4"/>
      <c r="O74" s="4"/>
    </row>
    <row r="75" spans="1:15" ht="12.75">
      <c r="A75" s="468"/>
      <c r="B75" s="468"/>
      <c r="C75" s="468"/>
      <c r="D75" s="468"/>
      <c r="E75" s="468"/>
      <c r="F75" s="468"/>
      <c r="G75" s="468"/>
      <c r="H75" s="468"/>
      <c r="I75" s="468"/>
      <c r="J75" s="468"/>
      <c r="K75" s="468"/>
      <c r="L75" s="56"/>
      <c r="N75" s="4"/>
      <c r="O75" s="4"/>
    </row>
    <row r="76" spans="1:15" ht="12.75">
      <c r="A76" s="478" t="s">
        <v>98</v>
      </c>
      <c r="B76" s="540"/>
      <c r="C76" s="541"/>
      <c r="D76" s="541"/>
      <c r="E76" s="541"/>
      <c r="F76" s="541"/>
      <c r="G76" s="541"/>
      <c r="H76" s="541"/>
      <c r="I76" s="541"/>
      <c r="J76" s="541"/>
      <c r="K76" s="541"/>
      <c r="L76" s="3"/>
      <c r="N76" s="4"/>
      <c r="O76" s="4"/>
    </row>
    <row r="77" spans="1:15" ht="12.75">
      <c r="A77" s="468"/>
      <c r="B77" s="542"/>
      <c r="C77" s="542"/>
      <c r="D77" s="542"/>
      <c r="E77" s="542"/>
      <c r="F77" s="542"/>
      <c r="G77" s="542"/>
      <c r="H77" s="542"/>
      <c r="I77" s="542"/>
      <c r="J77" s="542"/>
      <c r="K77" s="542"/>
      <c r="N77" s="4"/>
      <c r="O77" s="4"/>
    </row>
    <row r="78" spans="1:15" ht="12.75">
      <c r="A78" s="541"/>
      <c r="B78" s="541"/>
      <c r="C78" s="541"/>
      <c r="D78" s="541"/>
      <c r="E78" s="541"/>
      <c r="F78" s="541"/>
      <c r="G78" s="541"/>
      <c r="H78" s="541"/>
      <c r="I78" s="541"/>
      <c r="J78" s="541"/>
      <c r="K78" s="541"/>
      <c r="N78" s="4"/>
      <c r="O78" s="4"/>
    </row>
    <row r="79" spans="1:15" ht="12.75">
      <c r="A79" s="468"/>
      <c r="B79" s="468"/>
      <c r="C79" s="468"/>
      <c r="D79" s="468"/>
      <c r="E79" s="468"/>
      <c r="F79" s="468"/>
      <c r="G79" s="468"/>
      <c r="H79" s="468"/>
      <c r="I79" s="468"/>
      <c r="J79" s="468"/>
      <c r="K79" s="468"/>
      <c r="N79" s="4"/>
      <c r="O79" s="4"/>
    </row>
    <row r="80" spans="1:15" ht="12.75">
      <c r="A80" s="468"/>
      <c r="B80" s="468"/>
      <c r="C80" s="468"/>
      <c r="D80" s="468"/>
      <c r="E80" s="468"/>
      <c r="F80" s="533" t="s">
        <v>967</v>
      </c>
      <c r="G80" s="534">
        <f>IF(B5="","",B5)</f>
      </c>
      <c r="H80" s="535"/>
      <c r="I80" s="536"/>
      <c r="J80" s="468"/>
      <c r="K80" s="468"/>
      <c r="N80" s="4"/>
      <c r="O80" s="4"/>
    </row>
    <row r="81" spans="1:15" ht="12.75">
      <c r="A81" s="468" t="s">
        <v>1207</v>
      </c>
      <c r="B81" s="468"/>
      <c r="C81" s="468"/>
      <c r="D81" s="468"/>
      <c r="E81" s="468"/>
      <c r="F81" s="468"/>
      <c r="G81" s="468"/>
      <c r="H81" s="468"/>
      <c r="I81" s="468"/>
      <c r="J81" s="468"/>
      <c r="K81" s="468"/>
      <c r="N81" s="4"/>
      <c r="O81" s="4"/>
    </row>
    <row r="82" spans="14:15" ht="12.75">
      <c r="N82" s="4"/>
      <c r="O82" s="4"/>
    </row>
    <row r="83" spans="14:15" ht="12.75">
      <c r="N83" s="4"/>
      <c r="O83" s="4"/>
    </row>
    <row r="84" spans="14:15" ht="12.75">
      <c r="N84" s="4"/>
      <c r="O84" s="4"/>
    </row>
    <row r="85" spans="14:15" ht="12.75">
      <c r="N85" s="4"/>
      <c r="O85" s="4"/>
    </row>
    <row r="86" spans="14:15" ht="12.75">
      <c r="N86" s="4"/>
      <c r="O86" s="4"/>
    </row>
    <row r="87" spans="14:15" ht="12.75">
      <c r="N87" s="4"/>
      <c r="O87" s="4"/>
    </row>
    <row r="88" spans="14:15" ht="12.75">
      <c r="N88" s="4"/>
      <c r="O88" s="4"/>
    </row>
    <row r="89" spans="14:15" ht="12.75">
      <c r="N89" s="4"/>
      <c r="O89" s="4"/>
    </row>
    <row r="90" spans="14:15" ht="12.75">
      <c r="N90" s="4"/>
      <c r="O90" s="4"/>
    </row>
    <row r="91" spans="14:15" ht="12.75">
      <c r="N91" s="4"/>
      <c r="O91" s="4"/>
    </row>
    <row r="92" spans="14:15" ht="12.75">
      <c r="N92" s="4"/>
      <c r="O92" s="4"/>
    </row>
    <row r="93" spans="14:15" ht="12.75">
      <c r="N93" s="4"/>
      <c r="O93" s="4"/>
    </row>
    <row r="94" spans="14:15" ht="12.75">
      <c r="N94" s="4"/>
      <c r="O94" s="4"/>
    </row>
    <row r="95" spans="14:15" ht="12.75">
      <c r="N95" s="4"/>
      <c r="O95" s="4"/>
    </row>
    <row r="96" spans="14:15" ht="12.75">
      <c r="N96" s="4"/>
      <c r="O96" s="4"/>
    </row>
    <row r="97" spans="14:15" ht="12.75">
      <c r="N97" s="4"/>
      <c r="O97" s="4"/>
    </row>
    <row r="98" spans="14:15" ht="12.75">
      <c r="N98" s="4"/>
      <c r="O98" s="4"/>
    </row>
    <row r="99" spans="14:15" ht="12.75">
      <c r="N99" s="4"/>
      <c r="O99" s="4"/>
    </row>
    <row r="100" spans="14:15" ht="12.75">
      <c r="N100" s="4"/>
      <c r="O100" s="4"/>
    </row>
    <row r="101" spans="14:15" ht="12.75">
      <c r="N101" s="4"/>
      <c r="O101" s="4"/>
    </row>
    <row r="102" spans="14:15" ht="12.75">
      <c r="N102" s="4"/>
      <c r="O102" s="4"/>
    </row>
    <row r="103" spans="14:15" ht="12.75">
      <c r="N103" s="4"/>
      <c r="O103" s="4"/>
    </row>
  </sheetData>
  <sheetProtection sheet="1"/>
  <mergeCells count="8">
    <mergeCell ref="A41:K41"/>
    <mergeCell ref="A48:K48"/>
    <mergeCell ref="A1:C1"/>
    <mergeCell ref="A24:K24"/>
    <mergeCell ref="A25:K25"/>
    <mergeCell ref="A26:K26"/>
    <mergeCell ref="D28:D31"/>
    <mergeCell ref="A27:K27"/>
  </mergeCells>
  <printOptions horizontalCentered="1"/>
  <pageMargins left="0.5" right="0.5" top="0.5" bottom="0.5" header="0" footer="0"/>
  <pageSetup fitToHeight="1" fitToWidth="1"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Q94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3.140625" style="0" customWidth="1"/>
    <col min="2" max="2" width="13.8515625" style="0" customWidth="1"/>
    <col min="3" max="3" width="12.421875" style="0" customWidth="1"/>
    <col min="4" max="4" width="14.57421875" style="0" customWidth="1"/>
    <col min="5" max="5" width="11.28125" style="0" customWidth="1"/>
    <col min="6" max="6" width="13.140625" style="0" customWidth="1"/>
    <col min="7" max="7" width="10.421875" style="0" customWidth="1"/>
    <col min="8" max="8" width="13.421875" style="0" customWidth="1"/>
    <col min="9" max="9" width="11.8515625" style="0" customWidth="1"/>
    <col min="10" max="10" width="10.7109375" style="0" customWidth="1"/>
  </cols>
  <sheetData>
    <row r="1" spans="1:251" ht="12.75">
      <c r="A1" s="1020" t="s">
        <v>835</v>
      </c>
      <c r="B1" s="1026"/>
      <c r="C1" s="1026"/>
      <c r="D1" s="495"/>
      <c r="E1" s="495"/>
      <c r="F1" s="495"/>
      <c r="G1" s="495"/>
      <c r="H1" s="495"/>
      <c r="I1" s="495"/>
      <c r="J1" s="495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IQ1" s="13">
        <f>IF(Data!D78="","",Data!D78)</f>
        <v>0</v>
      </c>
    </row>
    <row r="2" spans="1:251" ht="12.75">
      <c r="A2" s="495"/>
      <c r="B2" s="514"/>
      <c r="C2" s="514"/>
      <c r="D2" s="514"/>
      <c r="E2" s="514"/>
      <c r="F2" s="514"/>
      <c r="G2" s="514"/>
      <c r="H2" s="514"/>
      <c r="I2" s="514"/>
      <c r="J2" s="495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IQ2" s="13">
        <f>IF(Data!D79="","",Data!D79)</f>
        <v>0</v>
      </c>
    </row>
    <row r="3" spans="1:251" ht="12.75">
      <c r="A3" s="530"/>
      <c r="B3" s="549"/>
      <c r="C3" s="509"/>
      <c r="D3" s="509"/>
      <c r="E3" s="549"/>
      <c r="F3" s="610"/>
      <c r="G3" s="515"/>
      <c r="H3" s="518"/>
      <c r="I3" s="518"/>
      <c r="J3" s="495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IQ3" s="13">
        <f>IF(Data!D80="","",Data!D80)</f>
        <v>0</v>
      </c>
    </row>
    <row r="4" spans="1:251" ht="12.75">
      <c r="A4" s="530"/>
      <c r="B4" s="549"/>
      <c r="C4" s="509"/>
      <c r="D4" s="509"/>
      <c r="E4" s="549"/>
      <c r="F4" s="610"/>
      <c r="G4" s="515"/>
      <c r="H4" s="518"/>
      <c r="I4" s="518"/>
      <c r="J4" s="495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8"/>
      <c r="AB4" s="458"/>
      <c r="IQ4" s="13">
        <f>IF(Data!D81="","",Data!D81)</f>
        <v>0</v>
      </c>
    </row>
    <row r="5" spans="1:251" ht="12.75">
      <c r="A5" s="530"/>
      <c r="B5" s="549"/>
      <c r="C5" s="509"/>
      <c r="D5" s="509"/>
      <c r="E5" s="549"/>
      <c r="F5" s="610"/>
      <c r="G5" s="515"/>
      <c r="H5" s="518"/>
      <c r="I5" s="518"/>
      <c r="J5" s="495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IQ5" s="13">
        <f>IF(Data!D82="","",Data!D82)</f>
        <v>0</v>
      </c>
    </row>
    <row r="6" spans="1:251" ht="12.75">
      <c r="A6" s="530"/>
      <c r="B6" s="549"/>
      <c r="C6" s="509"/>
      <c r="D6" s="509"/>
      <c r="E6" s="549"/>
      <c r="F6" s="610"/>
      <c r="G6" s="515"/>
      <c r="H6" s="518"/>
      <c r="I6" s="518"/>
      <c r="J6" s="495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IQ6" s="13">
        <f>IF(Data!D83="","",Data!D83)</f>
        <v>0</v>
      </c>
    </row>
    <row r="7" spans="1:251" ht="12.75">
      <c r="A7" s="611"/>
      <c r="B7" s="495"/>
      <c r="C7" s="495"/>
      <c r="D7" s="495"/>
      <c r="E7" s="514"/>
      <c r="F7" s="495"/>
      <c r="G7" s="495"/>
      <c r="H7" s="495"/>
      <c r="I7" s="495"/>
      <c r="J7" s="495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IQ7" s="13">
        <f>IF(Data!D84="","",Data!D84)</f>
        <v>0</v>
      </c>
    </row>
    <row r="8" spans="1:251" ht="4.5" customHeight="1">
      <c r="A8" s="612"/>
      <c r="B8" s="613"/>
      <c r="C8" s="613"/>
      <c r="D8" s="613"/>
      <c r="E8" s="613"/>
      <c r="F8" s="613"/>
      <c r="G8" s="613"/>
      <c r="H8" s="613"/>
      <c r="I8" s="613"/>
      <c r="J8" s="613"/>
      <c r="K8" s="614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IQ8" s="13">
        <f>IF(Data!D85="","",Data!D85)</f>
        <v>0</v>
      </c>
    </row>
    <row r="9" spans="1:251" ht="12.75">
      <c r="A9" s="459" t="s">
        <v>1124</v>
      </c>
      <c r="B9" s="553"/>
      <c r="C9" s="553"/>
      <c r="D9" s="553"/>
      <c r="E9" s="553"/>
      <c r="F9" s="553"/>
      <c r="G9" s="553"/>
      <c r="H9" s="553"/>
      <c r="I9" s="553"/>
      <c r="J9" s="7" t="str">
        <f>Main!J1</f>
        <v>Revised 4/22/16</v>
      </c>
      <c r="K9" s="553"/>
      <c r="L9" s="458"/>
      <c r="M9" s="458"/>
      <c r="N9" s="458"/>
      <c r="O9" s="458"/>
      <c r="P9" s="458"/>
      <c r="Q9" s="458"/>
      <c r="R9" s="458"/>
      <c r="S9" s="458"/>
      <c r="T9" s="458"/>
      <c r="U9" s="458"/>
      <c r="V9" s="458"/>
      <c r="W9" s="458"/>
      <c r="X9" s="458"/>
      <c r="Y9" s="458"/>
      <c r="Z9" s="458"/>
      <c r="AA9" s="458"/>
      <c r="AB9" s="458"/>
      <c r="IQ9" s="13">
        <f>IF(Data!D86="","",Data!D86)</f>
        <v>0</v>
      </c>
    </row>
    <row r="10" spans="1:251" ht="15.75">
      <c r="A10" s="1027" t="s">
        <v>84</v>
      </c>
      <c r="B10" s="1028"/>
      <c r="C10" s="1028"/>
      <c r="D10" s="1028"/>
      <c r="E10" s="1028"/>
      <c r="F10" s="1028"/>
      <c r="G10" s="1028"/>
      <c r="H10" s="1028"/>
      <c r="I10" s="1028"/>
      <c r="J10" s="1028"/>
      <c r="K10" s="1028"/>
      <c r="L10" s="458"/>
      <c r="M10" s="458"/>
      <c r="N10" s="458"/>
      <c r="O10" s="458"/>
      <c r="P10" s="458"/>
      <c r="Q10" s="458"/>
      <c r="R10" s="458"/>
      <c r="S10" s="458"/>
      <c r="T10" s="458"/>
      <c r="U10" s="458"/>
      <c r="V10" s="458"/>
      <c r="W10" s="458"/>
      <c r="X10" s="458"/>
      <c r="Y10" s="458"/>
      <c r="Z10" s="458"/>
      <c r="AA10" s="458"/>
      <c r="AB10" s="458"/>
      <c r="IQ10" s="13">
        <f>IF(Data!D87="","",Data!D87)</f>
        <v>0</v>
      </c>
    </row>
    <row r="11" spans="1:251" ht="12.75">
      <c r="A11" s="1029" t="s">
        <v>100</v>
      </c>
      <c r="B11" s="1028"/>
      <c r="C11" s="1028"/>
      <c r="D11" s="1028"/>
      <c r="E11" s="1028"/>
      <c r="F11" s="1028"/>
      <c r="G11" s="1028"/>
      <c r="H11" s="1028"/>
      <c r="I11" s="1028"/>
      <c r="J11" s="1028"/>
      <c r="K11" s="1028"/>
      <c r="L11" s="458"/>
      <c r="M11" s="458"/>
      <c r="N11" s="458"/>
      <c r="O11" s="458"/>
      <c r="P11" s="458"/>
      <c r="Q11" s="458"/>
      <c r="R11" s="458"/>
      <c r="S11" s="458"/>
      <c r="T11" s="458"/>
      <c r="U11" s="458"/>
      <c r="V11" s="458"/>
      <c r="W11" s="458"/>
      <c r="X11" s="458"/>
      <c r="Y11" s="458"/>
      <c r="Z11" s="458"/>
      <c r="AA11" s="458"/>
      <c r="AB11" s="458"/>
      <c r="IQ11" s="13">
        <f>IF(Data!D88="","",Data!D88)</f>
        <v>0</v>
      </c>
    </row>
    <row r="12" spans="1:251" ht="12.75">
      <c r="A12" s="1029" t="s">
        <v>101</v>
      </c>
      <c r="B12" s="1028"/>
      <c r="C12" s="1028"/>
      <c r="D12" s="1028"/>
      <c r="E12" s="1028"/>
      <c r="F12" s="1028"/>
      <c r="G12" s="1028"/>
      <c r="H12" s="1028"/>
      <c r="I12" s="1028"/>
      <c r="J12" s="1028"/>
      <c r="K12" s="102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IQ12" s="13">
        <f>IF(Data!D89="","",Data!D89)</f>
        <v>0</v>
      </c>
    </row>
    <row r="13" spans="1:251" ht="12.75">
      <c r="A13" s="1029" t="s">
        <v>1109</v>
      </c>
      <c r="B13" s="1028"/>
      <c r="C13" s="1028"/>
      <c r="D13" s="1028"/>
      <c r="E13" s="1028"/>
      <c r="F13" s="1028"/>
      <c r="G13" s="1028"/>
      <c r="H13" s="1028"/>
      <c r="I13" s="1028"/>
      <c r="J13" s="1028"/>
      <c r="K13" s="1028"/>
      <c r="L13" s="458"/>
      <c r="M13" s="458"/>
      <c r="N13" s="458"/>
      <c r="O13" s="458"/>
      <c r="P13" s="458"/>
      <c r="Q13" s="458"/>
      <c r="R13" s="458"/>
      <c r="S13" s="458"/>
      <c r="T13" s="458"/>
      <c r="U13" s="458"/>
      <c r="V13" s="458"/>
      <c r="W13" s="458"/>
      <c r="X13" s="458"/>
      <c r="Y13" s="458"/>
      <c r="Z13" s="458"/>
      <c r="AA13" s="458"/>
      <c r="AB13" s="458"/>
      <c r="IQ13" s="13">
        <f>IF(Data!D90="","",Data!D90)</f>
        <v>0</v>
      </c>
    </row>
    <row r="14" spans="1:251" ht="12.75">
      <c r="A14" s="461" t="s">
        <v>954</v>
      </c>
      <c r="B14" s="462">
        <f>IF(Input!$B$7="","",Input!$B$7)</f>
      </c>
      <c r="C14" s="463"/>
      <c r="D14" s="1023" t="s">
        <v>106</v>
      </c>
      <c r="E14" s="465">
        <v>1</v>
      </c>
      <c r="F14" s="466">
        <f>IF(Input!$C$64="","",Input!$C$64)</f>
      </c>
      <c r="G14" s="465">
        <v>5</v>
      </c>
      <c r="H14" s="466">
        <f>IF(Input!$E$64="","",Input!$E$64)</f>
      </c>
      <c r="I14" s="467" t="s">
        <v>559</v>
      </c>
      <c r="J14" s="571"/>
      <c r="K14" s="468"/>
      <c r="L14" s="458"/>
      <c r="M14" s="458"/>
      <c r="N14" s="458"/>
      <c r="O14" s="458"/>
      <c r="P14" s="458"/>
      <c r="Q14" s="458"/>
      <c r="R14" s="458"/>
      <c r="S14" s="458"/>
      <c r="T14" s="458"/>
      <c r="U14" s="458"/>
      <c r="V14" s="458"/>
      <c r="W14" s="458"/>
      <c r="X14" s="458"/>
      <c r="Y14" s="458"/>
      <c r="Z14" s="458"/>
      <c r="AA14" s="458"/>
      <c r="AB14" s="458"/>
      <c r="IQ14" s="13">
        <f>IF(Data!D91="","",Data!D91)</f>
        <v>0</v>
      </c>
    </row>
    <row r="15" spans="1:251" ht="12.75">
      <c r="A15" s="461" t="s">
        <v>102</v>
      </c>
      <c r="B15" s="462">
        <f>IF(Input!$B$8="","",Input!$B$8)</f>
      </c>
      <c r="C15" s="463"/>
      <c r="D15" s="1024"/>
      <c r="E15" s="465">
        <v>2</v>
      </c>
      <c r="F15" s="466">
        <f>IF(Input!$C$65="","",Input!$C$65)</f>
      </c>
      <c r="G15" s="465">
        <v>6</v>
      </c>
      <c r="H15" s="466">
        <f>IF(Input!$E$65="","",Input!$E$65)</f>
      </c>
      <c r="I15" s="470" t="s">
        <v>50</v>
      </c>
      <c r="J15" s="471">
        <f ca="1">TODAY()</f>
        <v>42480</v>
      </c>
      <c r="K15" s="468"/>
      <c r="L15" s="458"/>
      <c r="M15" s="458"/>
      <c r="N15" s="458"/>
      <c r="O15" s="458"/>
      <c r="P15" s="458"/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IQ15" s="13">
        <f>IF(Data!D92="","",Data!D92)</f>
        <v>0</v>
      </c>
    </row>
    <row r="16" spans="1:251" ht="12.75">
      <c r="A16" s="461" t="s">
        <v>983</v>
      </c>
      <c r="B16" s="462">
        <f>IF(Input!$B$10="","",Input!$B$10)</f>
      </c>
      <c r="C16" s="463"/>
      <c r="D16" s="1024"/>
      <c r="E16" s="465">
        <v>3</v>
      </c>
      <c r="F16" s="466">
        <f>IF(Input!$C$66="","",Input!$C$66)</f>
      </c>
      <c r="G16" s="465">
        <v>7</v>
      </c>
      <c r="H16" s="466">
        <f>IF(Input!$E$66="","",Input!$E$66)</f>
      </c>
      <c r="I16" s="461" t="s">
        <v>976</v>
      </c>
      <c r="J16" s="472">
        <f>IF(Input!$B$30="","",Input!$B$30)</f>
      </c>
      <c r="K16" s="473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IQ16" s="13">
        <f>IF(Data!D93="","",Data!D93)</f>
        <v>0</v>
      </c>
    </row>
    <row r="17" spans="1:251" ht="12.75">
      <c r="A17" s="461" t="s">
        <v>955</v>
      </c>
      <c r="B17" s="462">
        <f>IF(Input!$E$5="","",Input!$E$5)</f>
      </c>
      <c r="C17" s="463"/>
      <c r="D17" s="1025"/>
      <c r="E17" s="465">
        <v>4</v>
      </c>
      <c r="F17" s="466">
        <f>IF(Input!$C$67="","",Input!$C$67)</f>
      </c>
      <c r="G17" s="465">
        <v>8</v>
      </c>
      <c r="H17" s="466">
        <f>IF(Input!$E$67="","",Input!$E$67)</f>
      </c>
      <c r="I17" s="461" t="s">
        <v>977</v>
      </c>
      <c r="J17" s="472">
        <f>IF(Input!$B$31="","",Input!$B$31)</f>
      </c>
      <c r="K17" s="473"/>
      <c r="L17" s="458"/>
      <c r="M17" s="458"/>
      <c r="N17" s="458"/>
      <c r="O17" s="458"/>
      <c r="P17" s="458"/>
      <c r="Q17" s="458"/>
      <c r="R17" s="458"/>
      <c r="S17" s="458"/>
      <c r="T17" s="458"/>
      <c r="U17" s="458"/>
      <c r="V17" s="458"/>
      <c r="W17" s="458"/>
      <c r="X17" s="458"/>
      <c r="Y17" s="458"/>
      <c r="Z17" s="458"/>
      <c r="AA17" s="458"/>
      <c r="AB17" s="458"/>
      <c r="IQ17" s="13">
        <f>IF(Data!D94="","",Data!D94)</f>
        <v>0</v>
      </c>
    </row>
    <row r="18" spans="1:251" ht="12.75">
      <c r="A18" s="475" t="s">
        <v>49</v>
      </c>
      <c r="B18" s="462">
        <f>IF(Input!$E$6="","",Input!$E$6)</f>
      </c>
      <c r="C18" s="463"/>
      <c r="D18" s="461" t="s">
        <v>1253</v>
      </c>
      <c r="E18" s="476">
        <f>IF(Input!$B$68="","",Input!$B$68)</f>
      </c>
      <c r="F18" s="477"/>
      <c r="G18" s="477"/>
      <c r="H18" s="477"/>
      <c r="I18" s="461" t="s">
        <v>972</v>
      </c>
      <c r="J18" s="472">
        <f>IF(Input!$B$32="","",Input!$B$32)</f>
      </c>
      <c r="K18" s="473"/>
      <c r="L18" s="458"/>
      <c r="M18" s="458"/>
      <c r="N18" s="458"/>
      <c r="O18" s="458"/>
      <c r="P18" s="458"/>
      <c r="Q18" s="458"/>
      <c r="R18" s="458"/>
      <c r="S18" s="458"/>
      <c r="T18" s="458"/>
      <c r="U18" s="458"/>
      <c r="V18" s="458"/>
      <c r="W18" s="458"/>
      <c r="X18" s="458"/>
      <c r="Y18" s="458"/>
      <c r="Z18" s="458"/>
      <c r="AA18" s="458"/>
      <c r="AB18" s="458"/>
      <c r="IQ18" s="13">
        <f>IF(Data!D95="","",Data!D95)</f>
        <v>0</v>
      </c>
    </row>
    <row r="19" spans="1:251" ht="12.75">
      <c r="A19" s="475" t="s">
        <v>105</v>
      </c>
      <c r="B19" s="462">
        <f>IF(Input!$E$7="","",Input!$E$7)</f>
      </c>
      <c r="C19" s="463"/>
      <c r="D19" s="461" t="s">
        <v>968</v>
      </c>
      <c r="E19" s="476">
        <f>IF('Setup Bm Input'!$A$46="","",'Setup Bm Input'!$A$46)</f>
      </c>
      <c r="F19" s="477"/>
      <c r="G19" s="477"/>
      <c r="H19" s="477"/>
      <c r="I19" s="461" t="s">
        <v>978</v>
      </c>
      <c r="J19" s="472">
        <f>IF(Input!$B$33="","",Input!$B$33)</f>
      </c>
      <c r="K19" s="473"/>
      <c r="L19" s="458"/>
      <c r="M19" s="458"/>
      <c r="N19" s="458"/>
      <c r="O19" s="458"/>
      <c r="P19" s="458"/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8"/>
      <c r="AB19" s="458"/>
      <c r="IQ19" s="13">
        <f>IF(Data!D96="","",Data!D96)</f>
        <v>0</v>
      </c>
    </row>
    <row r="20" spans="1:251" ht="15.75">
      <c r="A20" s="475" t="s">
        <v>48</v>
      </c>
      <c r="B20" s="462">
        <f>IF(Input!$E$8="","",Input!$E$8)</f>
      </c>
      <c r="C20" s="463"/>
      <c r="D20" s="482"/>
      <c r="E20" s="616"/>
      <c r="F20" s="477"/>
      <c r="G20" s="477"/>
      <c r="H20" s="477"/>
      <c r="I20" s="461" t="s">
        <v>975</v>
      </c>
      <c r="J20" s="472">
        <f>IF(Input!$B$34="","",Input!$B$34)</f>
      </c>
      <c r="K20" s="473"/>
      <c r="L20" s="458"/>
      <c r="M20" s="458"/>
      <c r="N20" s="458"/>
      <c r="O20" s="458"/>
      <c r="P20" s="458"/>
      <c r="Q20" s="458"/>
      <c r="R20" s="458"/>
      <c r="S20" s="458"/>
      <c r="T20" s="458"/>
      <c r="U20" s="458"/>
      <c r="V20" s="458"/>
      <c r="W20" s="458"/>
      <c r="X20" s="458"/>
      <c r="Y20" s="458"/>
      <c r="Z20" s="458"/>
      <c r="AA20" s="458"/>
      <c r="AB20" s="458"/>
      <c r="IQ20" s="13">
        <f>IF(Data!D97="","",Data!D97)</f>
        <v>0</v>
      </c>
    </row>
    <row r="21" spans="1:251" ht="15.75">
      <c r="A21" s="461" t="s">
        <v>981</v>
      </c>
      <c r="B21" s="462">
        <f>IF(Input!$B$37="","",Input!$B$37)</f>
      </c>
      <c r="C21" s="463"/>
      <c r="D21" s="482"/>
      <c r="E21" s="616"/>
      <c r="F21" s="477"/>
      <c r="G21" s="477"/>
      <c r="H21" s="477"/>
      <c r="I21" s="461" t="s">
        <v>979</v>
      </c>
      <c r="J21" s="472">
        <f>IF(Input!$B$35="","",Input!$B$35)</f>
      </c>
      <c r="K21" s="473"/>
      <c r="L21" s="458"/>
      <c r="M21" s="458"/>
      <c r="N21" s="458"/>
      <c r="O21" s="458"/>
      <c r="P21" s="458"/>
      <c r="Q21" s="458"/>
      <c r="R21" s="458"/>
      <c r="S21" s="458"/>
      <c r="T21" s="458"/>
      <c r="U21" s="458"/>
      <c r="V21" s="458"/>
      <c r="W21" s="458"/>
      <c r="X21" s="458"/>
      <c r="Y21" s="458"/>
      <c r="Z21" s="458"/>
      <c r="AA21" s="458"/>
      <c r="AB21" s="458"/>
      <c r="IQ21" s="13">
        <f>IF(Data!D98="","",Data!D98)</f>
        <v>0</v>
      </c>
    </row>
    <row r="22" spans="1:251" ht="15.75">
      <c r="A22" s="461" t="s">
        <v>97</v>
      </c>
      <c r="B22" s="538"/>
      <c r="C22" s="539"/>
      <c r="D22" s="482"/>
      <c r="E22" s="616"/>
      <c r="F22" s="477"/>
      <c r="G22" s="477"/>
      <c r="H22" s="477"/>
      <c r="I22" s="461" t="s">
        <v>980</v>
      </c>
      <c r="J22" s="472">
        <f>IF(Input!$B$36="","",Input!$B$36)</f>
      </c>
      <c r="K22" s="473"/>
      <c r="L22" s="458"/>
      <c r="M22" s="458"/>
      <c r="N22" s="458"/>
      <c r="O22" s="458"/>
      <c r="P22" s="458"/>
      <c r="Q22" s="458"/>
      <c r="R22" s="458"/>
      <c r="S22" s="458"/>
      <c r="T22" s="458"/>
      <c r="U22" s="458"/>
      <c r="V22" s="458"/>
      <c r="W22" s="458"/>
      <c r="X22" s="458"/>
      <c r="Y22" s="458"/>
      <c r="Z22" s="458"/>
      <c r="AA22" s="458"/>
      <c r="AB22" s="458"/>
      <c r="IQ22" s="13">
        <f>IF(Data!D99="","",Data!D99)</f>
        <v>0</v>
      </c>
    </row>
    <row r="23" spans="1:251" ht="15.75">
      <c r="A23" s="461" t="s">
        <v>103</v>
      </c>
      <c r="B23" s="462">
        <f>IF(Input!$B$9="","",Input!$B$9)</f>
      </c>
      <c r="C23" s="463"/>
      <c r="D23" s="482"/>
      <c r="E23" s="616"/>
      <c r="F23" s="477"/>
      <c r="G23" s="477"/>
      <c r="H23" s="477"/>
      <c r="I23" s="478"/>
      <c r="J23" s="479"/>
      <c r="K23" s="480"/>
      <c r="L23" s="458"/>
      <c r="M23" s="458"/>
      <c r="N23" s="458"/>
      <c r="O23" s="458"/>
      <c r="P23" s="458"/>
      <c r="Q23" s="458"/>
      <c r="R23" s="458"/>
      <c r="S23" s="458"/>
      <c r="T23" s="458"/>
      <c r="U23" s="458"/>
      <c r="V23" s="458"/>
      <c r="W23" s="458"/>
      <c r="X23" s="458"/>
      <c r="Y23" s="458"/>
      <c r="Z23" s="458"/>
      <c r="AA23" s="458"/>
      <c r="AB23" s="458"/>
      <c r="IQ23" s="13">
        <f>IF(Data!D100="","",Data!D100)</f>
        <v>0</v>
      </c>
    </row>
    <row r="24" spans="1:251" ht="15.75">
      <c r="A24" s="461" t="s">
        <v>104</v>
      </c>
      <c r="B24" s="481">
        <f>'Setup Bm Input'!$B$34</f>
      </c>
      <c r="C24" s="463">
        <f>IF(Input!$B$6="","",IF(Input!$B$6="E","in.",IF(Input!$B$6="M","mm")))</f>
      </c>
      <c r="D24" s="482"/>
      <c r="E24" s="616"/>
      <c r="F24" s="477"/>
      <c r="G24" s="477"/>
      <c r="H24" s="477"/>
      <c r="I24" s="482"/>
      <c r="J24" s="483"/>
      <c r="K24" s="480"/>
      <c r="L24" s="458"/>
      <c r="M24" s="458"/>
      <c r="N24" s="458"/>
      <c r="O24" s="458"/>
      <c r="P24" s="458"/>
      <c r="Q24" s="458"/>
      <c r="R24" s="458"/>
      <c r="S24" s="458"/>
      <c r="T24" s="458"/>
      <c r="U24" s="458"/>
      <c r="V24" s="458"/>
      <c r="W24" s="458"/>
      <c r="X24" s="458"/>
      <c r="Y24" s="458"/>
      <c r="Z24" s="458"/>
      <c r="AA24" s="458"/>
      <c r="AB24" s="458"/>
      <c r="IQ24" s="13">
        <f>IF(Data!D101="","",Data!D101)</f>
        <v>0</v>
      </c>
    </row>
    <row r="25" spans="1:251" ht="15.75">
      <c r="A25" s="554"/>
      <c r="B25" s="555"/>
      <c r="C25" s="555"/>
      <c r="D25" s="482"/>
      <c r="E25" s="616"/>
      <c r="F25" s="477"/>
      <c r="G25" s="477"/>
      <c r="H25" s="477"/>
      <c r="I25" s="482"/>
      <c r="J25" s="483"/>
      <c r="K25" s="480"/>
      <c r="L25" s="458"/>
      <c r="M25" s="458"/>
      <c r="N25" s="458"/>
      <c r="O25" s="458"/>
      <c r="P25" s="458"/>
      <c r="Q25" s="458"/>
      <c r="R25" s="458"/>
      <c r="S25" s="458"/>
      <c r="T25" s="458"/>
      <c r="U25" s="458"/>
      <c r="V25" s="458"/>
      <c r="W25" s="458"/>
      <c r="X25" s="458"/>
      <c r="Y25" s="458"/>
      <c r="Z25" s="458"/>
      <c r="AA25" s="458"/>
      <c r="AB25" s="458"/>
      <c r="IQ25" s="13">
        <f>IF(Data!D102="","",Data!D102)</f>
        <v>0</v>
      </c>
    </row>
    <row r="26" spans="1:251" ht="15.75">
      <c r="A26" s="482"/>
      <c r="B26" s="615"/>
      <c r="C26" s="615"/>
      <c r="D26" s="482"/>
      <c r="E26" s="616"/>
      <c r="F26" s="477"/>
      <c r="G26" s="477"/>
      <c r="H26" s="477"/>
      <c r="I26" s="482"/>
      <c r="J26" s="483"/>
      <c r="K26" s="480"/>
      <c r="L26" s="458"/>
      <c r="M26" s="458"/>
      <c r="N26" s="458"/>
      <c r="O26" s="458"/>
      <c r="P26" s="458"/>
      <c r="Q26" s="458"/>
      <c r="R26" s="458"/>
      <c r="S26" s="458"/>
      <c r="T26" s="458"/>
      <c r="U26" s="458"/>
      <c r="V26" s="458"/>
      <c r="W26" s="458"/>
      <c r="X26" s="458"/>
      <c r="Y26" s="458"/>
      <c r="Z26" s="458"/>
      <c r="AA26" s="458"/>
      <c r="AB26" s="458"/>
      <c r="IQ26" s="13"/>
    </row>
    <row r="27" spans="1:251" ht="12.75">
      <c r="A27" s="1033" t="s">
        <v>107</v>
      </c>
      <c r="B27" s="1034"/>
      <c r="C27" s="1034"/>
      <c r="D27" s="1034"/>
      <c r="E27" s="1034"/>
      <c r="F27" s="1034"/>
      <c r="G27" s="1034"/>
      <c r="H27" s="1034"/>
      <c r="I27" s="1034"/>
      <c r="J27" s="1034"/>
      <c r="K27" s="1034"/>
      <c r="L27" s="458"/>
      <c r="M27" s="458"/>
      <c r="N27" s="458"/>
      <c r="O27" s="458"/>
      <c r="P27" s="458"/>
      <c r="Q27" s="458"/>
      <c r="R27" s="458"/>
      <c r="S27" s="458"/>
      <c r="T27" s="458"/>
      <c r="U27" s="458"/>
      <c r="V27" s="458"/>
      <c r="W27" s="458"/>
      <c r="X27" s="458"/>
      <c r="Y27" s="458"/>
      <c r="Z27" s="458"/>
      <c r="AA27" s="458"/>
      <c r="AB27" s="458"/>
      <c r="IQ27" s="13">
        <f>IF(Data!D103="","",Data!D103)</f>
        <v>0</v>
      </c>
    </row>
    <row r="28" spans="1:251" ht="15.75">
      <c r="A28" s="545" t="s">
        <v>799</v>
      </c>
      <c r="B28" s="458"/>
      <c r="C28" s="458"/>
      <c r="D28" s="458"/>
      <c r="E28" s="468"/>
      <c r="F28" s="458"/>
      <c r="G28" s="459" t="s">
        <v>805</v>
      </c>
      <c r="H28" s="459"/>
      <c r="I28" s="468"/>
      <c r="J28" s="592"/>
      <c r="K28" s="592"/>
      <c r="L28" s="458"/>
      <c r="M28" s="458"/>
      <c r="N28" s="458"/>
      <c r="O28" s="458"/>
      <c r="P28" s="458"/>
      <c r="Q28" s="458"/>
      <c r="R28" s="458"/>
      <c r="S28" s="458"/>
      <c r="T28" s="458"/>
      <c r="U28" s="458"/>
      <c r="V28" s="458"/>
      <c r="W28" s="458"/>
      <c r="X28" s="458"/>
      <c r="Y28" s="458"/>
      <c r="Z28" s="458"/>
      <c r="AA28" s="458"/>
      <c r="AB28" s="458"/>
      <c r="IQ28" s="13"/>
    </row>
    <row r="29" spans="1:251" ht="15.75">
      <c r="A29" s="459" t="s">
        <v>1035</v>
      </c>
      <c r="B29" s="458"/>
      <c r="C29" s="468"/>
      <c r="D29" s="468"/>
      <c r="E29" s="468"/>
      <c r="F29" s="458"/>
      <c r="G29" s="459" t="s">
        <v>806</v>
      </c>
      <c r="H29" s="459"/>
      <c r="I29" s="458"/>
      <c r="J29" s="592"/>
      <c r="K29" s="592"/>
      <c r="L29" s="458"/>
      <c r="M29" s="458"/>
      <c r="N29" s="458"/>
      <c r="O29" s="458"/>
      <c r="P29" s="458"/>
      <c r="Q29" s="458"/>
      <c r="R29" s="458"/>
      <c r="S29" s="458"/>
      <c r="T29" s="458"/>
      <c r="U29" s="458"/>
      <c r="V29" s="458"/>
      <c r="W29" s="458"/>
      <c r="X29" s="458"/>
      <c r="Y29" s="458"/>
      <c r="Z29" s="458"/>
      <c r="AA29" s="458"/>
      <c r="AB29" s="458"/>
      <c r="IQ29" s="13"/>
    </row>
    <row r="30" spans="1:251" ht="15.75">
      <c r="A30" s="459" t="s">
        <v>781</v>
      </c>
      <c r="B30" s="458"/>
      <c r="C30" s="458"/>
      <c r="D30" s="468"/>
      <c r="E30" s="468"/>
      <c r="F30" s="458"/>
      <c r="G30" s="459" t="s">
        <v>784</v>
      </c>
      <c r="H30" s="459"/>
      <c r="I30" s="458"/>
      <c r="J30" s="592"/>
      <c r="K30" s="592"/>
      <c r="L30" s="458"/>
      <c r="M30" s="458"/>
      <c r="N30" s="458"/>
      <c r="O30" s="458"/>
      <c r="P30" s="458"/>
      <c r="Q30" s="458"/>
      <c r="R30" s="458"/>
      <c r="S30" s="458"/>
      <c r="T30" s="458"/>
      <c r="U30" s="458"/>
      <c r="V30" s="458"/>
      <c r="W30" s="458"/>
      <c r="X30" s="458"/>
      <c r="Y30" s="458"/>
      <c r="Z30" s="458"/>
      <c r="AA30" s="458"/>
      <c r="AB30" s="458"/>
      <c r="IQ30" s="13"/>
    </row>
    <row r="31" spans="1:251" ht="15.75">
      <c r="A31" s="493" t="s">
        <v>1069</v>
      </c>
      <c r="B31" s="459"/>
      <c r="C31" s="468"/>
      <c r="D31" s="468"/>
      <c r="E31" s="468"/>
      <c r="F31" s="458"/>
      <c r="G31" s="459" t="s">
        <v>785</v>
      </c>
      <c r="H31" s="459"/>
      <c r="I31" s="458"/>
      <c r="J31" s="592"/>
      <c r="K31" s="592"/>
      <c r="L31" s="458"/>
      <c r="M31" s="458"/>
      <c r="N31" s="458"/>
      <c r="O31" s="458"/>
      <c r="P31" s="458"/>
      <c r="Q31" s="458"/>
      <c r="R31" s="458"/>
      <c r="S31" s="458"/>
      <c r="T31" s="458"/>
      <c r="U31" s="458"/>
      <c r="V31" s="458"/>
      <c r="W31" s="458"/>
      <c r="X31" s="458"/>
      <c r="Y31" s="458"/>
      <c r="Z31" s="458"/>
      <c r="AA31" s="458"/>
      <c r="AB31" s="458"/>
      <c r="IQ31" s="13"/>
    </row>
    <row r="32" spans="1:251" ht="15.75">
      <c r="A32" s="493" t="s">
        <v>800</v>
      </c>
      <c r="B32" s="459"/>
      <c r="C32" s="468"/>
      <c r="D32" s="468"/>
      <c r="E32" s="468"/>
      <c r="F32" s="458"/>
      <c r="G32" s="459" t="s">
        <v>1038</v>
      </c>
      <c r="H32" s="459"/>
      <c r="I32" s="592"/>
      <c r="J32" s="592"/>
      <c r="K32" s="592"/>
      <c r="L32" s="458"/>
      <c r="M32" s="458"/>
      <c r="N32" s="458"/>
      <c r="O32" s="458"/>
      <c r="P32" s="458"/>
      <c r="Q32" s="458"/>
      <c r="R32" s="458"/>
      <c r="S32" s="458"/>
      <c r="T32" s="458"/>
      <c r="U32" s="458"/>
      <c r="V32" s="458"/>
      <c r="W32" s="458"/>
      <c r="X32" s="458"/>
      <c r="Y32" s="458"/>
      <c r="Z32" s="458"/>
      <c r="AA32" s="458"/>
      <c r="AB32" s="458"/>
      <c r="IQ32" s="13"/>
    </row>
    <row r="33" spans="1:251" ht="15.75">
      <c r="A33" s="493" t="s">
        <v>801</v>
      </c>
      <c r="B33" s="458"/>
      <c r="C33" s="468"/>
      <c r="D33" s="468"/>
      <c r="E33" s="468"/>
      <c r="F33" s="458"/>
      <c r="G33" s="459" t="s">
        <v>1077</v>
      </c>
      <c r="H33" s="459"/>
      <c r="I33" s="592"/>
      <c r="J33" s="592"/>
      <c r="K33" s="592"/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8"/>
      <c r="W33" s="458"/>
      <c r="X33" s="458"/>
      <c r="Y33" s="458"/>
      <c r="Z33" s="458"/>
      <c r="AA33" s="458"/>
      <c r="AB33" s="458"/>
      <c r="IQ33" s="13"/>
    </row>
    <row r="34" spans="1:251" ht="15.75">
      <c r="A34" s="493" t="s">
        <v>802</v>
      </c>
      <c r="B34" s="459"/>
      <c r="C34" s="458"/>
      <c r="D34" s="468"/>
      <c r="E34" s="468"/>
      <c r="F34" s="458"/>
      <c r="G34" s="459" t="s">
        <v>1096</v>
      </c>
      <c r="H34" s="459"/>
      <c r="I34" s="592"/>
      <c r="J34" s="592"/>
      <c r="K34" s="592"/>
      <c r="L34" s="458"/>
      <c r="M34" s="458"/>
      <c r="N34" s="458"/>
      <c r="O34" s="458"/>
      <c r="P34" s="458"/>
      <c r="Q34" s="458"/>
      <c r="R34" s="458"/>
      <c r="S34" s="458"/>
      <c r="T34" s="458"/>
      <c r="U34" s="458"/>
      <c r="V34" s="458"/>
      <c r="W34" s="458"/>
      <c r="X34" s="458"/>
      <c r="Y34" s="458"/>
      <c r="Z34" s="458"/>
      <c r="AA34" s="458"/>
      <c r="AB34" s="458"/>
      <c r="IQ34" s="13"/>
    </row>
    <row r="35" spans="1:251" ht="15.75">
      <c r="A35" s="493" t="s">
        <v>803</v>
      </c>
      <c r="B35" s="458"/>
      <c r="C35" s="468"/>
      <c r="D35" s="468"/>
      <c r="E35" s="468"/>
      <c r="F35" s="458"/>
      <c r="G35" s="459" t="s">
        <v>1039</v>
      </c>
      <c r="H35" s="458"/>
      <c r="I35" s="459"/>
      <c r="J35" s="468"/>
      <c r="K35" s="592"/>
      <c r="L35" s="458"/>
      <c r="M35" s="458"/>
      <c r="N35" s="458"/>
      <c r="O35" s="458"/>
      <c r="P35" s="458"/>
      <c r="Q35" s="458"/>
      <c r="R35" s="458"/>
      <c r="S35" s="458"/>
      <c r="T35" s="458"/>
      <c r="U35" s="458"/>
      <c r="V35" s="458"/>
      <c r="W35" s="458"/>
      <c r="X35" s="458"/>
      <c r="Y35" s="458"/>
      <c r="Z35" s="458"/>
      <c r="AA35" s="458"/>
      <c r="AB35" s="458"/>
      <c r="IQ35" s="13"/>
    </row>
    <row r="36" spans="1:251" ht="15.75">
      <c r="A36" s="493" t="s">
        <v>804</v>
      </c>
      <c r="B36" s="458"/>
      <c r="C36" s="458"/>
      <c r="D36" s="468"/>
      <c r="E36" s="458"/>
      <c r="F36" s="458"/>
      <c r="G36" s="459" t="s">
        <v>1040</v>
      </c>
      <c r="H36" s="458"/>
      <c r="I36" s="458"/>
      <c r="J36" s="458"/>
      <c r="K36" s="592"/>
      <c r="L36" s="458"/>
      <c r="M36" s="458"/>
      <c r="N36" s="458"/>
      <c r="O36" s="458"/>
      <c r="P36" s="458"/>
      <c r="Q36" s="458"/>
      <c r="R36" s="458"/>
      <c r="S36" s="458"/>
      <c r="T36" s="458"/>
      <c r="U36" s="458"/>
      <c r="V36" s="458"/>
      <c r="W36" s="458"/>
      <c r="X36" s="458"/>
      <c r="Y36" s="458"/>
      <c r="Z36" s="458"/>
      <c r="AA36" s="458"/>
      <c r="AB36" s="458"/>
      <c r="IQ36" s="13"/>
    </row>
    <row r="37" spans="1:251" ht="12.75">
      <c r="A37" s="458"/>
      <c r="B37" s="459"/>
      <c r="C37" s="468"/>
      <c r="D37" s="458"/>
      <c r="E37" s="468"/>
      <c r="F37" s="458"/>
      <c r="G37" s="458"/>
      <c r="H37" s="458"/>
      <c r="I37" s="458"/>
      <c r="J37" s="458"/>
      <c r="K37" s="592"/>
      <c r="L37" s="458"/>
      <c r="M37" s="458"/>
      <c r="N37" s="458"/>
      <c r="O37" s="458"/>
      <c r="P37" s="458"/>
      <c r="Q37" s="458"/>
      <c r="R37" s="458"/>
      <c r="S37" s="458"/>
      <c r="T37" s="458"/>
      <c r="U37" s="458"/>
      <c r="V37" s="458"/>
      <c r="W37" s="458"/>
      <c r="X37" s="458"/>
      <c r="Y37" s="458"/>
      <c r="Z37" s="458"/>
      <c r="AA37" s="458"/>
      <c r="AB37" s="458"/>
      <c r="IQ37" s="13"/>
    </row>
    <row r="38" spans="1:251" ht="12.75">
      <c r="A38" s="459"/>
      <c r="B38" s="459"/>
      <c r="C38" s="468"/>
      <c r="D38" s="458"/>
      <c r="E38" s="468"/>
      <c r="F38" s="458"/>
      <c r="G38" s="458"/>
      <c r="H38" s="458"/>
      <c r="I38" s="458"/>
      <c r="J38" s="458"/>
      <c r="K38" s="592"/>
      <c r="L38" s="458"/>
      <c r="M38" s="458"/>
      <c r="N38" s="458"/>
      <c r="O38" s="458"/>
      <c r="P38" s="458"/>
      <c r="Q38" s="458"/>
      <c r="R38" s="458"/>
      <c r="S38" s="458"/>
      <c r="T38" s="458"/>
      <c r="U38" s="458"/>
      <c r="V38" s="458"/>
      <c r="W38" s="458"/>
      <c r="X38" s="458"/>
      <c r="Y38" s="458"/>
      <c r="Z38" s="458"/>
      <c r="AA38" s="458"/>
      <c r="AB38" s="458"/>
      <c r="IQ38" s="13"/>
    </row>
    <row r="39" spans="1:251" ht="12.75">
      <c r="A39" s="458" t="s">
        <v>55</v>
      </c>
      <c r="B39" s="459"/>
      <c r="C39" s="468"/>
      <c r="D39" s="458"/>
      <c r="E39" s="468"/>
      <c r="F39" s="459"/>
      <c r="G39" s="458"/>
      <c r="H39" s="458"/>
      <c r="I39" s="458"/>
      <c r="J39" s="458"/>
      <c r="K39" s="592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458"/>
      <c r="X39" s="458"/>
      <c r="Y39" s="458"/>
      <c r="Z39" s="458"/>
      <c r="AA39" s="458"/>
      <c r="AB39" s="458"/>
      <c r="IQ39" s="13"/>
    </row>
    <row r="40" spans="1:251" ht="12.75">
      <c r="A40" s="458"/>
      <c r="B40" s="459"/>
      <c r="C40" s="468"/>
      <c r="D40" s="468"/>
      <c r="E40" s="468"/>
      <c r="F40" s="458"/>
      <c r="G40" s="459"/>
      <c r="H40" s="468"/>
      <c r="I40" s="459"/>
      <c r="J40" s="458"/>
      <c r="K40" s="592"/>
      <c r="L40" s="458"/>
      <c r="M40" s="458"/>
      <c r="N40" s="458"/>
      <c r="O40" s="458"/>
      <c r="P40" s="458"/>
      <c r="Q40" s="458"/>
      <c r="R40" s="458"/>
      <c r="S40" s="458"/>
      <c r="T40" s="458"/>
      <c r="U40" s="458"/>
      <c r="V40" s="458"/>
      <c r="W40" s="458"/>
      <c r="X40" s="458"/>
      <c r="Y40" s="458"/>
      <c r="Z40" s="458"/>
      <c r="AA40" s="458"/>
      <c r="AB40" s="458"/>
      <c r="IQ40" s="13"/>
    </row>
    <row r="41" spans="1:251" ht="12.75">
      <c r="A41" s="1033" t="s">
        <v>1097</v>
      </c>
      <c r="B41" s="1034"/>
      <c r="C41" s="1034"/>
      <c r="D41" s="1034"/>
      <c r="E41" s="1034"/>
      <c r="F41" s="1034"/>
      <c r="G41" s="1034"/>
      <c r="H41" s="1034"/>
      <c r="I41" s="1034"/>
      <c r="J41" s="1034"/>
      <c r="K41" s="1034"/>
      <c r="L41" s="458"/>
      <c r="M41" s="458"/>
      <c r="N41" s="458"/>
      <c r="O41" s="458"/>
      <c r="P41" s="458"/>
      <c r="Q41" s="458"/>
      <c r="R41" s="458"/>
      <c r="S41" s="458"/>
      <c r="T41" s="458"/>
      <c r="U41" s="458"/>
      <c r="V41" s="458"/>
      <c r="W41" s="458"/>
      <c r="X41" s="458"/>
      <c r="Y41" s="458"/>
      <c r="Z41" s="458"/>
      <c r="AA41" s="458"/>
      <c r="AB41" s="458"/>
      <c r="IQ41" s="13"/>
    </row>
    <row r="42" spans="1:251" ht="12.75">
      <c r="A42" s="617"/>
      <c r="B42" s="459"/>
      <c r="C42" s="468"/>
      <c r="D42" s="468"/>
      <c r="E42" s="468"/>
      <c r="F42" s="458"/>
      <c r="G42" s="459"/>
      <c r="H42" s="468"/>
      <c r="I42" s="458"/>
      <c r="J42" s="458"/>
      <c r="K42" s="592"/>
      <c r="L42" s="458"/>
      <c r="M42" s="458"/>
      <c r="N42" s="458"/>
      <c r="O42" s="458"/>
      <c r="P42" s="458"/>
      <c r="Q42" s="458"/>
      <c r="R42" s="458"/>
      <c r="S42" s="458"/>
      <c r="T42" s="458"/>
      <c r="U42" s="458"/>
      <c r="V42" s="458"/>
      <c r="W42" s="458"/>
      <c r="X42" s="458"/>
      <c r="Y42" s="458"/>
      <c r="Z42" s="458"/>
      <c r="AA42" s="458"/>
      <c r="AB42" s="458"/>
      <c r="IQ42" s="13"/>
    </row>
    <row r="43" spans="1:251" ht="15.75">
      <c r="A43" s="617"/>
      <c r="B43" s="458"/>
      <c r="C43" s="592" t="s">
        <v>1098</v>
      </c>
      <c r="D43" s="618" t="s">
        <v>949</v>
      </c>
      <c r="E43" s="619" t="s">
        <v>786</v>
      </c>
      <c r="F43" s="532">
        <f>IF(Input!$B$6="","",IF(Input!$B$6="E","in.",IF(Input!$B$6="M","mm")))</f>
      </c>
      <c r="G43" s="578" t="s">
        <v>1055</v>
      </c>
      <c r="H43" s="525">
        <f>'Setup Bm Input'!B34</f>
      </c>
      <c r="I43" s="532">
        <f>IF(Input!$B$6="","",IF(Input!$B$6="E","in.",IF(Input!$B$6="M","mm")))</f>
      </c>
      <c r="J43" s="592"/>
      <c r="K43" s="592"/>
      <c r="L43" s="458"/>
      <c r="M43" s="458"/>
      <c r="N43" s="458"/>
      <c r="O43" s="458"/>
      <c r="P43" s="458"/>
      <c r="Q43" s="458"/>
      <c r="R43" s="458"/>
      <c r="S43" s="458"/>
      <c r="T43" s="458"/>
      <c r="U43" s="458"/>
      <c r="V43" s="458"/>
      <c r="W43" s="458"/>
      <c r="X43" s="458"/>
      <c r="Y43" s="458"/>
      <c r="Z43" s="458"/>
      <c r="AA43" s="458"/>
      <c r="AB43" s="458"/>
      <c r="IQ43" s="13"/>
    </row>
    <row r="44" spans="1:251" ht="15.75">
      <c r="A44" s="617"/>
      <c r="B44" s="458"/>
      <c r="C44" s="592" t="s">
        <v>1074</v>
      </c>
      <c r="D44" s="618"/>
      <c r="E44" s="239" t="s">
        <v>995</v>
      </c>
      <c r="F44" s="592"/>
      <c r="G44" s="458"/>
      <c r="H44" s="620"/>
      <c r="I44" s="592"/>
      <c r="J44" s="592"/>
      <c r="K44" s="592"/>
      <c r="L44" s="458"/>
      <c r="M44" s="458"/>
      <c r="N44" s="458"/>
      <c r="O44" s="458"/>
      <c r="P44" s="458"/>
      <c r="Q44" s="458"/>
      <c r="R44" s="458"/>
      <c r="S44" s="458"/>
      <c r="T44" s="458"/>
      <c r="U44" s="458"/>
      <c r="V44" s="458"/>
      <c r="W44" s="458"/>
      <c r="X44" s="458"/>
      <c r="Y44" s="458"/>
      <c r="Z44" s="458"/>
      <c r="AA44" s="458"/>
      <c r="AB44" s="458"/>
      <c r="IQ44" s="13"/>
    </row>
    <row r="45" spans="1:251" ht="14.25">
      <c r="A45" s="617"/>
      <c r="B45" s="458"/>
      <c r="C45" s="458"/>
      <c r="D45" s="458"/>
      <c r="E45" s="458"/>
      <c r="F45" s="458"/>
      <c r="G45" s="524" t="s">
        <v>1100</v>
      </c>
      <c r="H45" s="524" t="s">
        <v>761</v>
      </c>
      <c r="I45" s="621"/>
      <c r="J45" s="592"/>
      <c r="K45" s="592"/>
      <c r="L45" s="458"/>
      <c r="M45" s="458"/>
      <c r="N45" s="458"/>
      <c r="O45" s="458"/>
      <c r="P45" s="458"/>
      <c r="Q45" s="458"/>
      <c r="R45" s="458"/>
      <c r="S45" s="458"/>
      <c r="T45" s="458"/>
      <c r="U45" s="458"/>
      <c r="V45" s="458"/>
      <c r="W45" s="458"/>
      <c r="X45" s="458"/>
      <c r="Y45" s="458"/>
      <c r="Z45" s="458"/>
      <c r="AA45" s="458"/>
      <c r="AB45" s="458"/>
      <c r="IQ45" s="13"/>
    </row>
    <row r="46" spans="1:251" ht="15.75">
      <c r="A46" s="561"/>
      <c r="B46" s="458"/>
      <c r="C46" s="458"/>
      <c r="D46" s="458"/>
      <c r="E46" s="524" t="s">
        <v>1022</v>
      </c>
      <c r="F46" s="598" t="s">
        <v>1023</v>
      </c>
      <c r="G46" s="564" t="s">
        <v>1099</v>
      </c>
      <c r="H46" s="564" t="s">
        <v>1101</v>
      </c>
      <c r="I46" s="524" t="s">
        <v>115</v>
      </c>
      <c r="J46" s="458"/>
      <c r="K46" s="458"/>
      <c r="L46" s="458"/>
      <c r="M46" s="458"/>
      <c r="N46" s="458"/>
      <c r="O46" s="458"/>
      <c r="P46" s="458"/>
      <c r="Q46" s="458"/>
      <c r="R46" s="458"/>
      <c r="S46" s="458"/>
      <c r="T46" s="458"/>
      <c r="U46" s="458"/>
      <c r="V46" s="458"/>
      <c r="W46" s="458"/>
      <c r="X46" s="458"/>
      <c r="Y46" s="458"/>
      <c r="Z46" s="458"/>
      <c r="AA46" s="458"/>
      <c r="AB46" s="458"/>
      <c r="IQ46" s="13">
        <f>IF(Data!D104="","",Data!D104)</f>
        <v>0</v>
      </c>
    </row>
    <row r="47" spans="1:251" ht="12.75">
      <c r="A47" s="458"/>
      <c r="B47" s="458"/>
      <c r="C47" s="565" t="s">
        <v>112</v>
      </c>
      <c r="D47" s="525" t="s">
        <v>114</v>
      </c>
      <c r="E47" s="525">
        <f>IF(Input!$B$6="","",IF(Input!$B$6="E","Area (sq. in.)",IF(Input!$B$6="M","Area (sq. mm)")))</f>
      </c>
      <c r="F47" s="566">
        <f>IF(Input!$B$6="","",IF(Input!$B$6="E","Mod. El. (psi)",IF(Input!$B$6="M","Mod. El. (kPA)")))</f>
      </c>
      <c r="G47" s="600">
        <f>IF(Input!$B$6="","",IF(Input!$B$6="E","Load (lbs.)",IF(Input!$B$6="M","Load (N)")))</f>
      </c>
      <c r="H47" s="601">
        <f>IF(Input!$B$6="","",IF(Input!$B$6="E","(lbs.)",IF(Input!$B$6="M","(N)")))</f>
      </c>
      <c r="I47" s="603">
        <f>IF(Input!$B$6="","",IF(Input!$B$6="E","(in.)",IF(Input!$B$6="M","(mm)")))</f>
      </c>
      <c r="J47" s="458"/>
      <c r="K47" s="458"/>
      <c r="L47" s="458"/>
      <c r="M47" s="458"/>
      <c r="N47" s="458"/>
      <c r="O47" s="458"/>
      <c r="P47" s="458"/>
      <c r="Q47" s="458"/>
      <c r="R47" s="458"/>
      <c r="S47" s="458"/>
      <c r="T47" s="458"/>
      <c r="U47" s="458"/>
      <c r="V47" s="458"/>
      <c r="W47" s="458"/>
      <c r="X47" s="458"/>
      <c r="Y47" s="458"/>
      <c r="Z47" s="458"/>
      <c r="AA47" s="458"/>
      <c r="AB47" s="458"/>
      <c r="IQ47" s="13">
        <f>IF(Data!D105="","",Data!D105)</f>
        <v>0</v>
      </c>
    </row>
    <row r="48" spans="1:251" ht="12.75">
      <c r="A48" s="458"/>
      <c r="B48" s="458"/>
      <c r="C48" s="525" t="s">
        <v>90</v>
      </c>
      <c r="D48" s="558">
        <f>IF('Setup Bm Input'!B63="","",'Setup Bm Input'!B63)</f>
      </c>
      <c r="E48" s="1010">
        <f>IF('Setup Bm Input'!D63="","",'Setup Bm Input'!D63)</f>
      </c>
      <c r="F48" s="558">
        <f>IF('Setup Bm Input'!E63="","",'Setup Bm Input'!E63)</f>
      </c>
      <c r="G48" s="569">
        <f>IF(E48="","",'Setup Bm Input'!$B$29)</f>
      </c>
      <c r="H48" s="569">
        <f>IF(E48="","",'Setup Bm Input'!$B$30)</f>
      </c>
      <c r="I48" s="622">
        <f>IF(E48="","",IF(Input!$B$6="E",((G48-H48)*$H$43)/(E48*F48),((G48-H48)*$H$43)/(E48*F48)*1000))</f>
      </c>
      <c r="J48" s="458"/>
      <c r="K48" s="458"/>
      <c r="L48" s="458"/>
      <c r="M48" s="458"/>
      <c r="N48" s="458"/>
      <c r="O48" s="458"/>
      <c r="P48" s="458"/>
      <c r="Q48" s="458"/>
      <c r="R48" s="458"/>
      <c r="S48" s="458"/>
      <c r="T48" s="458"/>
      <c r="U48" s="458"/>
      <c r="V48" s="458"/>
      <c r="W48" s="458"/>
      <c r="X48" s="458"/>
      <c r="Y48" s="458"/>
      <c r="Z48" s="458"/>
      <c r="AA48" s="458"/>
      <c r="AB48" s="458"/>
      <c r="IQ48" s="13">
        <f>IF(Data!D106="","",Data!D106)</f>
        <v>0</v>
      </c>
    </row>
    <row r="49" spans="1:251" ht="12.75">
      <c r="A49" s="458"/>
      <c r="B49" s="458"/>
      <c r="C49" s="525" t="s">
        <v>91</v>
      </c>
      <c r="D49" s="558">
        <f>IF('Setup Bm Input'!B64="","",'Setup Bm Input'!B64)</f>
      </c>
      <c r="E49" s="558">
        <f>IF('Setup Bm Input'!D64="","",'Setup Bm Input'!D64)</f>
      </c>
      <c r="F49" s="558">
        <f>IF('Setup Bm Input'!E64="","",'Setup Bm Input'!E64)</f>
      </c>
      <c r="G49" s="569">
        <f>IF(E49="","",'Setup Bm Input'!$B$29)</f>
      </c>
      <c r="H49" s="569">
        <f>IF(E49="","",'Setup Bm Input'!$B$30)</f>
      </c>
      <c r="I49" s="622">
        <f>IF(E49="","",IF(Input!$B$6="E",((G49-H49)*$H$43)/(E49*F49),((G49-H49)*$H$43)/(E49*F49)*1000))</f>
      </c>
      <c r="J49" s="458"/>
      <c r="K49" s="458"/>
      <c r="L49" s="458"/>
      <c r="M49" s="458"/>
      <c r="N49" s="458"/>
      <c r="O49" s="458"/>
      <c r="P49" s="458"/>
      <c r="Q49" s="458"/>
      <c r="R49" s="458"/>
      <c r="S49" s="458"/>
      <c r="T49" s="458"/>
      <c r="U49" s="458"/>
      <c r="V49" s="458"/>
      <c r="W49" s="458"/>
      <c r="X49" s="458"/>
      <c r="Y49" s="458"/>
      <c r="Z49" s="458"/>
      <c r="AA49" s="458"/>
      <c r="AB49" s="458"/>
      <c r="IQ49" s="13">
        <f>IF(Data!D107="","",Data!D107)</f>
        <v>0</v>
      </c>
    </row>
    <row r="50" spans="1:251" ht="12.75">
      <c r="A50" s="458"/>
      <c r="B50" s="458"/>
      <c r="C50" s="525" t="s">
        <v>92</v>
      </c>
      <c r="D50" s="558">
        <f>IF('Setup Bm Input'!B65="","",'Setup Bm Input'!B65)</f>
      </c>
      <c r="E50" s="558">
        <f>IF('Setup Bm Input'!D65="","",'Setup Bm Input'!D65)</f>
      </c>
      <c r="F50" s="558">
        <f>IF('Setup Bm Input'!E65="","",'Setup Bm Input'!E65)</f>
      </c>
      <c r="G50" s="569">
        <f>IF(E50="","",'Setup Bm Input'!$B$29)</f>
      </c>
      <c r="H50" s="569">
        <f>IF(E50="","",'Setup Bm Input'!$B$30)</f>
      </c>
      <c r="I50" s="622">
        <f>IF(E50="","",IF(Input!$B$6="E",((G50-H50)*$H$43)/(E50*F50),((G50-H50)*$H$43)/(E50*F50)*1000))</f>
      </c>
      <c r="J50" s="458"/>
      <c r="K50" s="458"/>
      <c r="L50" s="458"/>
      <c r="M50" s="458"/>
      <c r="N50" s="458"/>
      <c r="O50" s="458"/>
      <c r="P50" s="458"/>
      <c r="Q50" s="458"/>
      <c r="R50" s="458"/>
      <c r="S50" s="458"/>
      <c r="T50" s="458"/>
      <c r="U50" s="458"/>
      <c r="V50" s="458"/>
      <c r="W50" s="458"/>
      <c r="X50" s="458"/>
      <c r="Y50" s="458"/>
      <c r="Z50" s="458"/>
      <c r="AA50" s="458"/>
      <c r="AB50" s="458"/>
      <c r="IQ50" s="13">
        <f>IF(Data!D108="","",Data!D108)</f>
        <v>0</v>
      </c>
    </row>
    <row r="51" spans="1:251" ht="12.75">
      <c r="A51" s="458"/>
      <c r="B51" s="458"/>
      <c r="C51" s="525" t="s">
        <v>93</v>
      </c>
      <c r="D51" s="558">
        <f>IF('Setup Bm Input'!B66="","",'Setup Bm Input'!B66)</f>
      </c>
      <c r="E51" s="558">
        <f>IF('Setup Bm Input'!D66="","",'Setup Bm Input'!D66)</f>
      </c>
      <c r="F51" s="558">
        <f>IF('Setup Bm Input'!E66="","",'Setup Bm Input'!E66)</f>
      </c>
      <c r="G51" s="569">
        <f>IF(E51="","",'Setup Bm Input'!$B$29)</f>
      </c>
      <c r="H51" s="569">
        <f>IF(E51="","",'Setup Bm Input'!$B$30)</f>
      </c>
      <c r="I51" s="622">
        <f>IF(E51="","",IF(Input!$B$6="E",((G51-H51)*$H$43)/(E51*F51),((G51-H51)*$H$43)/(E51*F51)*1000))</f>
      </c>
      <c r="J51" s="458"/>
      <c r="K51" s="458"/>
      <c r="L51" s="458"/>
      <c r="M51" s="458"/>
      <c r="N51" s="458"/>
      <c r="O51" s="458"/>
      <c r="P51" s="458"/>
      <c r="Q51" s="458"/>
      <c r="R51" s="458"/>
      <c r="S51" s="458"/>
      <c r="T51" s="458"/>
      <c r="U51" s="458"/>
      <c r="V51" s="458"/>
      <c r="W51" s="458"/>
      <c r="X51" s="458"/>
      <c r="Y51" s="458"/>
      <c r="Z51" s="458"/>
      <c r="AA51" s="458"/>
      <c r="AB51" s="458"/>
      <c r="IQ51" s="13">
        <f>IF(Data!D109="","",Data!D109)</f>
        <v>0</v>
      </c>
    </row>
    <row r="52" spans="1:251" ht="12.75">
      <c r="A52" s="458"/>
      <c r="B52" s="458"/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458"/>
      <c r="R52" s="458"/>
      <c r="S52" s="458"/>
      <c r="T52" s="458"/>
      <c r="U52" s="458"/>
      <c r="V52" s="458"/>
      <c r="W52" s="458"/>
      <c r="X52" s="458"/>
      <c r="Y52" s="458"/>
      <c r="Z52" s="458"/>
      <c r="AA52" s="458"/>
      <c r="AB52" s="458"/>
      <c r="IQ52" s="13">
        <f>IF(Data!D110="","",Data!D110)</f>
        <v>0</v>
      </c>
    </row>
    <row r="53" spans="1:28" ht="12.75">
      <c r="A53" s="1033" t="s">
        <v>1165</v>
      </c>
      <c r="B53" s="1034"/>
      <c r="C53" s="1034"/>
      <c r="D53" s="1034"/>
      <c r="E53" s="1034"/>
      <c r="F53" s="1034"/>
      <c r="G53" s="1034"/>
      <c r="H53" s="1034"/>
      <c r="I53" s="1034"/>
      <c r="J53" s="1034"/>
      <c r="K53" s="1034"/>
      <c r="L53" s="458"/>
      <c r="M53" s="458"/>
      <c r="N53" s="458"/>
      <c r="O53" s="458"/>
      <c r="P53" s="458"/>
      <c r="Q53" s="458"/>
      <c r="R53" s="458"/>
      <c r="S53" s="458"/>
      <c r="T53" s="458"/>
      <c r="U53" s="458"/>
      <c r="V53" s="458"/>
      <c r="W53" s="458"/>
      <c r="X53" s="458"/>
      <c r="Y53" s="458"/>
      <c r="Z53" s="458"/>
      <c r="AA53" s="458"/>
      <c r="AB53" s="458"/>
    </row>
    <row r="54" spans="1:28" ht="12.75">
      <c r="A54" s="458"/>
      <c r="B54" s="514"/>
      <c r="C54" s="514"/>
      <c r="D54" s="514">
        <f>IF(C2="","",C2)</f>
      </c>
      <c r="E54" s="514">
        <f>IF(D2="","",D2)</f>
      </c>
      <c r="F54" s="514"/>
      <c r="G54" s="514"/>
      <c r="H54" s="514"/>
      <c r="I54" s="532"/>
      <c r="J54" s="458"/>
      <c r="K54" s="458"/>
      <c r="L54" s="458"/>
      <c r="M54" s="458"/>
      <c r="N54" s="458"/>
      <c r="O54" s="458"/>
      <c r="P54" s="458"/>
      <c r="Q54" s="458"/>
      <c r="R54" s="458"/>
      <c r="S54" s="458"/>
      <c r="T54" s="458"/>
      <c r="U54" s="458"/>
      <c r="V54" s="458"/>
      <c r="W54" s="458"/>
      <c r="X54" s="458"/>
      <c r="Y54" s="458"/>
      <c r="Z54" s="458"/>
      <c r="AA54" s="458"/>
      <c r="AB54" s="458"/>
    </row>
    <row r="55" spans="1:28" ht="12.75">
      <c r="A55" s="458"/>
      <c r="B55" s="566"/>
      <c r="C55" s="623"/>
      <c r="D55" s="624" t="s">
        <v>1168</v>
      </c>
      <c r="E55" s="623"/>
      <c r="F55" s="623"/>
      <c r="G55" s="598" t="s">
        <v>1169</v>
      </c>
      <c r="H55" s="625"/>
      <c r="I55" s="624" t="s">
        <v>1170</v>
      </c>
      <c r="J55" s="580"/>
      <c r="K55" s="524" t="s">
        <v>1169</v>
      </c>
      <c r="L55" s="458"/>
      <c r="M55" s="458"/>
      <c r="N55" s="458"/>
      <c r="O55" s="458"/>
      <c r="P55" s="458"/>
      <c r="Q55" s="458"/>
      <c r="R55" s="458"/>
      <c r="S55" s="458"/>
      <c r="T55" s="458"/>
      <c r="U55" s="458"/>
      <c r="V55" s="458"/>
      <c r="W55" s="458"/>
      <c r="X55" s="458"/>
      <c r="Y55" s="458"/>
      <c r="Z55" s="458"/>
      <c r="AA55" s="458"/>
      <c r="AB55" s="458"/>
    </row>
    <row r="56" spans="1:28" ht="14.25">
      <c r="A56" s="458"/>
      <c r="B56" s="524" t="s">
        <v>1102</v>
      </c>
      <c r="C56" s="524" t="s">
        <v>1075</v>
      </c>
      <c r="D56" s="524" t="s">
        <v>1026</v>
      </c>
      <c r="E56" s="524" t="s">
        <v>1064</v>
      </c>
      <c r="F56" s="598" t="s">
        <v>1103</v>
      </c>
      <c r="G56" s="626" t="s">
        <v>1104</v>
      </c>
      <c r="H56" s="627" t="s">
        <v>1105</v>
      </c>
      <c r="I56" s="524" t="s">
        <v>1106</v>
      </c>
      <c r="J56" s="524" t="s">
        <v>1107</v>
      </c>
      <c r="K56" s="524" t="s">
        <v>1108</v>
      </c>
      <c r="L56" s="458"/>
      <c r="M56" s="458"/>
      <c r="N56" s="458"/>
      <c r="O56" s="458"/>
      <c r="P56" s="458"/>
      <c r="Q56" s="458"/>
      <c r="R56" s="458"/>
      <c r="S56" s="458"/>
      <c r="T56" s="458"/>
      <c r="U56" s="458"/>
      <c r="V56" s="458"/>
      <c r="W56" s="458"/>
      <c r="X56" s="458"/>
      <c r="Y56" s="458"/>
      <c r="Z56" s="458"/>
      <c r="AA56" s="458"/>
      <c r="AB56" s="458"/>
    </row>
    <row r="57" spans="1:28" ht="12.75">
      <c r="A57" s="525" t="s">
        <v>112</v>
      </c>
      <c r="B57" s="601">
        <f>IF(Input!$B$6="","",IF(Input!$B$6="E","(in.)",IF(Input!$B$6="M","(mm)")))</f>
      </c>
      <c r="C57" s="601">
        <f>IF(Input!$B$6="","",IF(Input!$B$6="E","(in.)",IF(Input!$B$6="M","(mm)")))</f>
      </c>
      <c r="D57" s="601">
        <f>IF(Input!$B$6="","",IF(Input!$B$6="E","(in.)",IF(Input!$B$6="M","(mm)")))</f>
      </c>
      <c r="E57" s="601">
        <f>IF(Input!$B$6="","",IF(Input!$B$6="E","(in.)",IF(Input!$B$6="M","(mm)")))</f>
      </c>
      <c r="F57" s="601">
        <f>IF(Input!$B$6="","",IF(Input!$B$6="E","(in.)",IF(Input!$B$6="M","(mm)")))</f>
      </c>
      <c r="G57" s="628">
        <f>IF(Input!$B$6="","",IF(Input!$B$6="E","(in.)",IF(Input!$B$6="M","(mm)")))</f>
      </c>
      <c r="H57" s="600">
        <f>IF(Input!$B$6="","",IF(Input!$B$6="E","(in.)",IF(Input!$B$6="M","(mm)")))</f>
      </c>
      <c r="I57" s="525">
        <f>IF(Input!$B$6="","",IF(Input!$B$6="E","(in.)",IF(Input!$B$6="M","(mm)")))</f>
      </c>
      <c r="J57" s="629">
        <f>IF(Input!$B$6="","",IF(Input!$B$6="E","(in.)",IF(Input!$B$6="M","(mm)")))</f>
      </c>
      <c r="K57" s="630">
        <f>IF(Input!$B$6="","",IF(Input!$B$6="E","(in.)",IF(Input!$B$6="M","(mm)")))</f>
      </c>
      <c r="L57" s="458"/>
      <c r="M57" s="458"/>
      <c r="N57" s="458"/>
      <c r="O57" s="458"/>
      <c r="P57" s="458"/>
      <c r="Q57" s="458"/>
      <c r="R57" s="458"/>
      <c r="S57" s="458"/>
      <c r="T57" s="458"/>
      <c r="U57" s="458"/>
      <c r="V57" s="458"/>
      <c r="W57" s="458"/>
      <c r="X57" s="458"/>
      <c r="Y57" s="458"/>
      <c r="Z57" s="458"/>
      <c r="AA57" s="458"/>
      <c r="AB57" s="458"/>
    </row>
    <row r="58" spans="1:28" ht="12.75">
      <c r="A58" s="525" t="s">
        <v>90</v>
      </c>
      <c r="B58" s="568">
        <f>IF(E48="","",'Setup Bm Input'!$F$26)</f>
      </c>
      <c r="C58" s="568">
        <f>IF(E48="","",IF(Thermal!F69="",0,Thermal!F69))</f>
      </c>
      <c r="D58" s="560">
        <f>IF(E48="","",IF('Anch Move'!G56="",0,'Anch Move'!G56))</f>
      </c>
      <c r="E58" s="560">
        <f>IF(E48="","",IF('Self Stress'!G56="",0,'Self Stress'!G56))</f>
      </c>
      <c r="F58" s="560">
        <f>IF(E48="","",'Setup Bm Input'!$F$36)</f>
      </c>
      <c r="G58" s="631">
        <f>IF(E48="","",B58+C58+D58+E58+F58)</f>
      </c>
      <c r="H58" s="632">
        <f>IF(E48="","",'Setup Bm Input'!$I$26)</f>
      </c>
      <c r="I58" s="568">
        <f>IF(E48="","",'Setup Bm Input'!$I$29)</f>
      </c>
      <c r="J58" s="560">
        <f>IF(E48="","",'Setup Bm Input'!$I$31)</f>
      </c>
      <c r="K58" s="622">
        <f>IF(E48="","",H58+I58+J58)</f>
      </c>
      <c r="L58" s="458"/>
      <c r="M58" s="458"/>
      <c r="N58" s="458"/>
      <c r="O58" s="458"/>
      <c r="P58" s="458"/>
      <c r="Q58" s="458"/>
      <c r="R58" s="458"/>
      <c r="S58" s="458"/>
      <c r="T58" s="458"/>
      <c r="U58" s="458"/>
      <c r="V58" s="458"/>
      <c r="W58" s="458"/>
      <c r="X58" s="458"/>
      <c r="Y58" s="458"/>
      <c r="Z58" s="458"/>
      <c r="AA58" s="458"/>
      <c r="AB58" s="458"/>
    </row>
    <row r="59" spans="1:28" ht="12.75">
      <c r="A59" s="525" t="s">
        <v>91</v>
      </c>
      <c r="B59" s="568">
        <f>IF(E49="","",'Setup Bm Input'!$F$26)</f>
      </c>
      <c r="C59" s="568">
        <f>IF(E49="","",IF(Thermal!F70="",0,Thermal!F70))</f>
      </c>
      <c r="D59" s="560">
        <f>IF(E49="","",IF('Anch Move'!G57="",0,'Anch Move'!G57))</f>
      </c>
      <c r="E59" s="560">
        <f>IF(E49="","",IF('Self Stress'!G57="",0,'Self Stress'!G57))</f>
      </c>
      <c r="F59" s="560">
        <f>IF(E49="","",'Setup Bm Input'!$F$36)</f>
      </c>
      <c r="G59" s="631">
        <f>IF(E49="","",B59+C59+D59+E59+F59)</f>
      </c>
      <c r="H59" s="632">
        <f>IF(E49="","",'Setup Bm Input'!$I$26)</f>
      </c>
      <c r="I59" s="568">
        <f>IF(E49="","",'Setup Bm Input'!$I$29)</f>
      </c>
      <c r="J59" s="560">
        <f>IF(E49="","",'Setup Bm Input'!$I$31)</f>
      </c>
      <c r="K59" s="622">
        <f>IF(E49="","",H59+I59+J59)</f>
      </c>
      <c r="L59" s="458"/>
      <c r="M59" s="458"/>
      <c r="N59" s="458"/>
      <c r="O59" s="458"/>
      <c r="P59" s="458"/>
      <c r="Q59" s="458"/>
      <c r="R59" s="458"/>
      <c r="S59" s="458"/>
      <c r="T59" s="458"/>
      <c r="U59" s="458"/>
      <c r="V59" s="458"/>
      <c r="W59" s="458"/>
      <c r="X59" s="458"/>
      <c r="Y59" s="458"/>
      <c r="Z59" s="458"/>
      <c r="AA59" s="458"/>
      <c r="AB59" s="458"/>
    </row>
    <row r="60" spans="1:28" ht="12.75">
      <c r="A60" s="525" t="s">
        <v>92</v>
      </c>
      <c r="B60" s="568">
        <f>IF(E50="","",'Setup Bm Input'!$F$26)</f>
      </c>
      <c r="C60" s="568">
        <f>IF(E50="","",IF(Thermal!F71="",0,Thermal!F71))</f>
      </c>
      <c r="D60" s="560">
        <f>IF(E50="","",IF('Anch Move'!G58="",0,'Anch Move'!G58))</f>
      </c>
      <c r="E60" s="560">
        <f>IF(E50="","",IF('Self Stress'!G58="",0,'Self Stress'!G58))</f>
      </c>
      <c r="F60" s="560">
        <f>IF(E50="","",'Setup Bm Input'!$F$36)</f>
      </c>
      <c r="G60" s="631">
        <f>IF(E50="","",B60+C60+D60+E60+F60)</f>
      </c>
      <c r="H60" s="632">
        <f>IF(E50="","",'Setup Bm Input'!$I$26)</f>
      </c>
      <c r="I60" s="568">
        <f>IF(E50="","",'Setup Bm Input'!$I$29)</f>
      </c>
      <c r="J60" s="560">
        <f>IF(E50="","",'Setup Bm Input'!$I$31)</f>
      </c>
      <c r="K60" s="622">
        <f>IF(E50="","",H60+I60+J60)</f>
      </c>
      <c r="L60" s="458"/>
      <c r="M60" s="458"/>
      <c r="N60" s="458"/>
      <c r="O60" s="458"/>
      <c r="P60" s="458"/>
      <c r="Q60" s="458"/>
      <c r="R60" s="458"/>
      <c r="S60" s="458"/>
      <c r="T60" s="458"/>
      <c r="U60" s="458"/>
      <c r="V60" s="458"/>
      <c r="W60" s="458"/>
      <c r="X60" s="458"/>
      <c r="Y60" s="458"/>
      <c r="Z60" s="458"/>
      <c r="AA60" s="458"/>
      <c r="AB60" s="458"/>
    </row>
    <row r="61" spans="1:28" ht="12.75">
      <c r="A61" s="525" t="s">
        <v>93</v>
      </c>
      <c r="B61" s="568">
        <f>IF(E51="","",'Setup Bm Input'!$F$26)</f>
      </c>
      <c r="C61" s="568">
        <f>IF(E51="","",IF(Thermal!F72="",0,Thermal!F72))</f>
      </c>
      <c r="D61" s="560">
        <f>IF(E51="","",IF('Anch Move'!G59="",0,'Anch Move'!G59))</f>
      </c>
      <c r="E61" s="560">
        <f>IF(E51="","",IF('Self Stress'!G59="",0,'Self Stress'!G59))</f>
      </c>
      <c r="F61" s="560">
        <f>IF(E51="","",'Setup Bm Input'!$F$36)</f>
      </c>
      <c r="G61" s="631">
        <f>IF(E51="","",B61+C61+D61+E61+F61)</f>
      </c>
      <c r="H61" s="632">
        <f>IF(E51="","",'Setup Bm Input'!$I$26)</f>
      </c>
      <c r="I61" s="568">
        <f>IF(E51="","",'Setup Bm Input'!$I$29)</f>
      </c>
      <c r="J61" s="560">
        <f>IF(E51="","",'Setup Bm Input'!$I$31)</f>
      </c>
      <c r="K61" s="622">
        <f>IF(E51="","",H61+I61+J61)</f>
      </c>
      <c r="L61" s="458"/>
      <c r="M61" s="458"/>
      <c r="N61" s="458"/>
      <c r="O61" s="458"/>
      <c r="P61" s="458"/>
      <c r="Q61" s="458"/>
      <c r="R61" s="458"/>
      <c r="S61" s="458"/>
      <c r="T61" s="458"/>
      <c r="U61" s="458"/>
      <c r="V61" s="458"/>
      <c r="W61" s="458"/>
      <c r="X61" s="458"/>
      <c r="Y61" s="458"/>
      <c r="Z61" s="458"/>
      <c r="AA61" s="458"/>
      <c r="AB61" s="458"/>
    </row>
    <row r="62" spans="1:28" ht="12.75">
      <c r="A62" s="458"/>
      <c r="B62" s="458"/>
      <c r="C62" s="458"/>
      <c r="D62" s="458"/>
      <c r="E62" s="458"/>
      <c r="F62" s="458"/>
      <c r="G62" s="458"/>
      <c r="H62" s="458"/>
      <c r="I62" s="458"/>
      <c r="J62" s="458"/>
      <c r="K62" s="458"/>
      <c r="L62" s="458"/>
      <c r="M62" s="458"/>
      <c r="N62" s="458"/>
      <c r="O62" s="458"/>
      <c r="P62" s="458"/>
      <c r="Q62" s="458"/>
      <c r="R62" s="458"/>
      <c r="S62" s="458"/>
      <c r="T62" s="458"/>
      <c r="U62" s="458"/>
      <c r="V62" s="458"/>
      <c r="W62" s="458"/>
      <c r="X62" s="458"/>
      <c r="Y62" s="458"/>
      <c r="Z62" s="458"/>
      <c r="AA62" s="458"/>
      <c r="AB62" s="458"/>
    </row>
    <row r="63" spans="1:28" ht="12.75">
      <c r="A63" s="1033" t="s">
        <v>1110</v>
      </c>
      <c r="B63" s="1034"/>
      <c r="C63" s="1034"/>
      <c r="D63" s="1034"/>
      <c r="E63" s="1034"/>
      <c r="F63" s="1034"/>
      <c r="G63" s="1034"/>
      <c r="H63" s="1034"/>
      <c r="I63" s="1034"/>
      <c r="J63" s="1034"/>
      <c r="K63" s="1034"/>
      <c r="L63" s="458"/>
      <c r="M63" s="458"/>
      <c r="N63" s="458"/>
      <c r="O63" s="458"/>
      <c r="P63" s="458"/>
      <c r="Q63" s="458"/>
      <c r="R63" s="458"/>
      <c r="S63" s="458"/>
      <c r="T63" s="458"/>
      <c r="U63" s="458"/>
      <c r="V63" s="458"/>
      <c r="W63" s="458"/>
      <c r="X63" s="458"/>
      <c r="Y63" s="458"/>
      <c r="Z63" s="458"/>
      <c r="AA63" s="458"/>
      <c r="AB63" s="458"/>
    </row>
    <row r="64" spans="1:28" ht="12.75">
      <c r="A64" s="458"/>
      <c r="B64" s="458"/>
      <c r="C64" s="458"/>
      <c r="D64" s="458"/>
      <c r="E64" s="458"/>
      <c r="F64" s="458"/>
      <c r="G64" s="458"/>
      <c r="H64" s="458"/>
      <c r="I64" s="458"/>
      <c r="J64" s="458"/>
      <c r="K64" s="458"/>
      <c r="L64" s="458"/>
      <c r="M64" s="458"/>
      <c r="N64" s="458"/>
      <c r="O64" s="458"/>
      <c r="P64" s="458"/>
      <c r="Q64" s="458"/>
      <c r="R64" s="458"/>
      <c r="S64" s="458"/>
      <c r="T64" s="458"/>
      <c r="U64" s="458"/>
      <c r="V64" s="458"/>
      <c r="W64" s="458"/>
      <c r="X64" s="458"/>
      <c r="Y64" s="458"/>
      <c r="Z64" s="458"/>
      <c r="AA64" s="458"/>
      <c r="AB64" s="458"/>
    </row>
    <row r="65" spans="1:28" ht="15.75">
      <c r="A65" s="458"/>
      <c r="B65" s="458"/>
      <c r="C65" s="320" t="s">
        <v>1152</v>
      </c>
      <c r="D65" s="459" t="s">
        <v>1166</v>
      </c>
      <c r="E65" s="532">
        <f>IF(Input!$B$6="","",IF(Input!$B$6="E","in.",IF(Input!$B$6="M","mm")))</f>
      </c>
      <c r="F65" s="559" t="s">
        <v>1153</v>
      </c>
      <c r="G65" s="459" t="s">
        <v>1167</v>
      </c>
      <c r="H65" s="458"/>
      <c r="I65" s="532">
        <f>IF(Input!$B$6="","",IF(Input!$B$6="E","in.",IF(Input!$B$6="M","mm")))</f>
      </c>
      <c r="J65" s="458"/>
      <c r="K65" s="458"/>
      <c r="L65" s="458"/>
      <c r="M65" s="458"/>
      <c r="N65" s="458"/>
      <c r="O65" s="458"/>
      <c r="P65" s="458"/>
      <c r="Q65" s="458"/>
      <c r="R65" s="458"/>
      <c r="S65" s="458"/>
      <c r="T65" s="458"/>
      <c r="U65" s="458"/>
      <c r="V65" s="458"/>
      <c r="W65" s="458"/>
      <c r="X65" s="458"/>
      <c r="Y65" s="458"/>
      <c r="Z65" s="458"/>
      <c r="AA65" s="458"/>
      <c r="AB65" s="458"/>
    </row>
    <row r="66" spans="1:28" ht="12.75">
      <c r="A66" s="458"/>
      <c r="B66" s="458"/>
      <c r="C66" s="458"/>
      <c r="D66" s="458"/>
      <c r="E66" s="458"/>
      <c r="F66" s="458"/>
      <c r="G66" s="458"/>
      <c r="H66" s="458"/>
      <c r="I66" s="458"/>
      <c r="J66" s="458"/>
      <c r="K66" s="458"/>
      <c r="L66" s="458"/>
      <c r="M66" s="458"/>
      <c r="N66" s="458"/>
      <c r="O66" s="458"/>
      <c r="P66" s="458"/>
      <c r="Q66" s="458"/>
      <c r="R66" s="458"/>
      <c r="S66" s="458"/>
      <c r="T66" s="458"/>
      <c r="U66" s="458"/>
      <c r="V66" s="458"/>
      <c r="W66" s="458"/>
      <c r="X66" s="458"/>
      <c r="Y66" s="458"/>
      <c r="Z66" s="458"/>
      <c r="AA66" s="458"/>
      <c r="AB66" s="458"/>
    </row>
    <row r="67" spans="1:28" ht="14.25">
      <c r="A67" s="458"/>
      <c r="B67" s="458"/>
      <c r="C67" s="512" t="s">
        <v>111</v>
      </c>
      <c r="D67" s="598" t="s">
        <v>115</v>
      </c>
      <c r="E67" s="598" t="s">
        <v>1104</v>
      </c>
      <c r="F67" s="524" t="s">
        <v>1108</v>
      </c>
      <c r="G67" s="524" t="s">
        <v>1111</v>
      </c>
      <c r="H67" s="524" t="s">
        <v>1102</v>
      </c>
      <c r="I67" s="524" t="s">
        <v>1112</v>
      </c>
      <c r="J67" s="458"/>
      <c r="K67" s="458"/>
      <c r="L67" s="458"/>
      <c r="M67" s="458"/>
      <c r="N67" s="458"/>
      <c r="O67" s="458" t="s">
        <v>66</v>
      </c>
      <c r="P67" s="458"/>
      <c r="Q67" s="458"/>
      <c r="R67" s="458"/>
      <c r="S67" s="458"/>
      <c r="T67" s="458"/>
      <c r="U67" s="458"/>
      <c r="V67" s="458" t="s">
        <v>65</v>
      </c>
      <c r="W67" s="458"/>
      <c r="X67" s="458"/>
      <c r="Y67" s="458"/>
      <c r="Z67" s="458"/>
      <c r="AA67" s="458"/>
      <c r="AB67" s="458"/>
    </row>
    <row r="68" spans="1:32" ht="12.75">
      <c r="A68" s="458"/>
      <c r="B68" s="458"/>
      <c r="C68" s="633"/>
      <c r="D68" s="601">
        <f>IF(Input!$B$6="","",IF(Input!$B$6="E","(in.)",IF(Input!$B$6="M","(mm)")))</f>
      </c>
      <c r="E68" s="601">
        <f>IF(Input!$B$6="","",IF(Input!$B$6="E","(in.)",IF(Input!$B$6="M","(mm)")))</f>
      </c>
      <c r="F68" s="601">
        <f>IF(Input!$B$6="","",IF(Input!$B$6="E","(in.)",IF(Input!$B$6="M","(mm)")))</f>
      </c>
      <c r="G68" s="603">
        <f>IF(Input!$B$6="","",IF(Input!$B$6="E","(in.)",IF(Input!$B$6="M","(mm)")))</f>
      </c>
      <c r="H68" s="601">
        <f>IF(Input!$B$6="","",IF(Input!$B$6="E","(in.)",IF(Input!$B$6="M","(mm)")))</f>
      </c>
      <c r="I68" s="603">
        <f>IF(Input!$B$6="","",IF(Input!$B$6="E","(in.)",IF(Input!$B$6="M","(mm)")))</f>
      </c>
      <c r="J68" s="458"/>
      <c r="K68" s="458"/>
      <c r="L68" s="458"/>
      <c r="M68" s="458"/>
      <c r="N68" s="458"/>
      <c r="O68" s="525" t="str">
        <f>C69</f>
        <v>A</v>
      </c>
      <c r="P68" s="525">
        <f>IF(G69="","",G69)</f>
      </c>
      <c r="Q68" s="525">
        <f>IF(P68="","",INT(P68))</f>
      </c>
      <c r="R68" s="634" t="e">
        <f>(P68-INT(P68))</f>
        <v>#VALUE!</v>
      </c>
      <c r="S68" s="525">
        <f>IF(P68="","",VLOOKUP(R68,Data!$A$369:$C$402,3,TRUE))</f>
      </c>
      <c r="T68" s="525" t="e">
        <f>IF(((P68-INT(P68))&gt;0.96875),(INT(P68)+1),Q68&amp;" "&amp;S68)</f>
        <v>#VALUE!</v>
      </c>
      <c r="U68" s="458"/>
      <c r="V68" s="525" t="str">
        <f>C69</f>
        <v>A</v>
      </c>
      <c r="W68" s="560">
        <f>I69</f>
      </c>
      <c r="X68" s="525">
        <f>IF(W68="","",INT(W68))</f>
      </c>
      <c r="Y68" s="634" t="e">
        <f>(W68-INT(W68))</f>
        <v>#VALUE!</v>
      </c>
      <c r="Z68" s="525">
        <f>IF(W68="","",VLOOKUP(Y68,Data!$A$369:$C$402,3,TRUE))</f>
      </c>
      <c r="AA68" s="525" t="e">
        <f>IF(((W68-INT(W68))&gt;0.96875),(INT(W68)+1),X68&amp;" "&amp;Z68)</f>
        <v>#VALUE!</v>
      </c>
      <c r="AB68" s="495"/>
      <c r="AC68" s="5"/>
      <c r="AD68" s="5"/>
      <c r="AE68" s="5"/>
      <c r="AF68" s="5"/>
    </row>
    <row r="69" spans="1:32" ht="12.75">
      <c r="A69" s="458"/>
      <c r="B69" s="458"/>
      <c r="C69" s="525" t="s">
        <v>90</v>
      </c>
      <c r="D69" s="635">
        <f>I48</f>
      </c>
      <c r="E69" s="635">
        <f>G58</f>
      </c>
      <c r="F69" s="635">
        <f>K58</f>
      </c>
      <c r="G69" s="636">
        <f>IF(E48="","",D69+E69+F69)</f>
      </c>
      <c r="H69" s="560">
        <f>B58</f>
      </c>
      <c r="I69" s="622">
        <f>IF(E48="","",G69-H69)</f>
      </c>
      <c r="J69" s="458"/>
      <c r="K69" s="458"/>
      <c r="L69" s="458"/>
      <c r="M69" s="458"/>
      <c r="N69" s="458"/>
      <c r="O69" s="525" t="str">
        <f>C70</f>
        <v>B</v>
      </c>
      <c r="P69" s="525">
        <f>IF(G70="","",G70)</f>
      </c>
      <c r="Q69" s="525">
        <f>IF(P69="","",INT(P69))</f>
      </c>
      <c r="R69" s="634" t="e">
        <f>(P69-INT(P69))</f>
        <v>#VALUE!</v>
      </c>
      <c r="S69" s="525">
        <f>IF(P69="","",VLOOKUP(R69,Data!$A$369:$C$402,3,TRUE))</f>
      </c>
      <c r="T69" s="525" t="e">
        <f>IF(((P69-INT(P69))&gt;0.96875),(INT(P69)+1),Q69&amp;" "&amp;S69)</f>
        <v>#VALUE!</v>
      </c>
      <c r="U69" s="458"/>
      <c r="V69" s="525" t="str">
        <f>C70</f>
        <v>B</v>
      </c>
      <c r="W69" s="560">
        <f>I70</f>
      </c>
      <c r="X69" s="525">
        <f>IF(W69="","",INT(W69))</f>
      </c>
      <c r="Y69" s="634" t="e">
        <f>(W69-INT(W69))</f>
        <v>#VALUE!</v>
      </c>
      <c r="Z69" s="525">
        <f>IF(W69="","",VLOOKUP(Y69,Data!$A$369:$C$402,3,TRUE))</f>
      </c>
      <c r="AA69" s="525" t="e">
        <f>IF(((W69-INT(W69))&gt;0.96875),(INT(W69)+1),X69&amp;" "&amp;Z69)</f>
        <v>#VALUE!</v>
      </c>
      <c r="AB69" s="495"/>
      <c r="AC69" s="138"/>
      <c r="AD69" s="138"/>
      <c r="AE69" s="138"/>
      <c r="AF69" s="138"/>
    </row>
    <row r="70" spans="1:32" ht="12.75">
      <c r="A70" s="458"/>
      <c r="B70" s="458"/>
      <c r="C70" s="525" t="s">
        <v>91</v>
      </c>
      <c r="D70" s="635">
        <f>I49</f>
      </c>
      <c r="E70" s="635">
        <f>G59</f>
      </c>
      <c r="F70" s="635">
        <f>K59</f>
      </c>
      <c r="G70" s="636">
        <f>IF(E49="","",D70+E70+F70)</f>
      </c>
      <c r="H70" s="560">
        <f>B59</f>
      </c>
      <c r="I70" s="622">
        <f>IF(E49="","",G70-H70)</f>
      </c>
      <c r="J70" s="458"/>
      <c r="K70" s="458"/>
      <c r="L70" s="458"/>
      <c r="M70" s="458"/>
      <c r="N70" s="458"/>
      <c r="O70" s="525" t="str">
        <f>C71</f>
        <v>C</v>
      </c>
      <c r="P70" s="525">
        <f>IF(G71="","",G71)</f>
      </c>
      <c r="Q70" s="525">
        <f>IF(P70="","",INT(P70))</f>
      </c>
      <c r="R70" s="634" t="e">
        <f>(P70-INT(P70))</f>
        <v>#VALUE!</v>
      </c>
      <c r="S70" s="525">
        <f>IF(P70="","",VLOOKUP(R70,Data!$A$369:$C$402,3,TRUE))</f>
      </c>
      <c r="T70" s="525" t="e">
        <f>IF(((P70-INT(P70))&gt;0.96875),(INT(P70)+1),Q70&amp;" "&amp;S70)</f>
        <v>#VALUE!</v>
      </c>
      <c r="U70" s="458"/>
      <c r="V70" s="525" t="str">
        <f>C71</f>
        <v>C</v>
      </c>
      <c r="W70" s="560">
        <f>I71</f>
      </c>
      <c r="X70" s="525">
        <f>IF(W70="","",INT(W70))</f>
      </c>
      <c r="Y70" s="634" t="e">
        <f>(W70-INT(W70))</f>
        <v>#VALUE!</v>
      </c>
      <c r="Z70" s="525">
        <f>IF(W70="","",VLOOKUP(Y70,Data!$A$369:$C$402,3,TRUE))</f>
      </c>
      <c r="AA70" s="525" t="e">
        <f>IF(((W70-INT(W70))&gt;0.96875),(INT(W70)+1),X70&amp;" "&amp;Z70)</f>
        <v>#VALUE!</v>
      </c>
      <c r="AB70" s="495"/>
      <c r="AC70" s="5"/>
      <c r="AD70" s="5"/>
      <c r="AE70" s="5"/>
      <c r="AF70" s="5"/>
    </row>
    <row r="71" spans="1:32" ht="12.75">
      <c r="A71" s="458"/>
      <c r="B71" s="458"/>
      <c r="C71" s="630" t="s">
        <v>92</v>
      </c>
      <c r="D71" s="635">
        <f>I50</f>
      </c>
      <c r="E71" s="635">
        <f>G60</f>
      </c>
      <c r="F71" s="635">
        <f>K60</f>
      </c>
      <c r="G71" s="636">
        <f>IF(E50="","",D71+E71+F71)</f>
      </c>
      <c r="H71" s="560">
        <f>B60</f>
      </c>
      <c r="I71" s="622">
        <f>IF(E50="","",G71-H71)</f>
      </c>
      <c r="J71" s="458"/>
      <c r="K71" s="458"/>
      <c r="L71" s="458"/>
      <c r="M71" s="458"/>
      <c r="N71" s="458"/>
      <c r="O71" s="525" t="str">
        <f>C72</f>
        <v>D</v>
      </c>
      <c r="P71" s="563">
        <f>IF(G72="","",G72)</f>
      </c>
      <c r="Q71" s="563">
        <f>IF(P71="","",INT(P71))</f>
      </c>
      <c r="R71" s="637" t="e">
        <f>(P71-INT(P71))</f>
        <v>#VALUE!</v>
      </c>
      <c r="S71" s="525">
        <f>IF(P71="","",VLOOKUP(R71,Data!$A$369:$C$402,3,TRUE))</f>
      </c>
      <c r="T71" s="563" t="e">
        <f>IF(((P71-INT(P71))&gt;0.96875),(INT(P71)+1),Q71&amp;" "&amp;S71)</f>
        <v>#VALUE!</v>
      </c>
      <c r="U71" s="458"/>
      <c r="V71" s="525" t="str">
        <f>C72</f>
        <v>D</v>
      </c>
      <c r="W71" s="560">
        <f>I72</f>
      </c>
      <c r="X71" s="525">
        <f>IF(W71="","",INT(W71))</f>
      </c>
      <c r="Y71" s="634" t="e">
        <f>(W71-INT(W71))</f>
        <v>#VALUE!</v>
      </c>
      <c r="Z71" s="525">
        <f>IF(W71="","",VLOOKUP(Y71,Data!$A$369:$C$402,3,TRUE))</f>
      </c>
      <c r="AA71" s="525" t="e">
        <f>IF(((W71-INT(W71))&gt;0.96875),(INT(W71)+1),X71&amp;" "&amp;Z71)</f>
        <v>#VALUE!</v>
      </c>
      <c r="AB71" s="495"/>
      <c r="AC71" s="147"/>
      <c r="AD71" s="147"/>
      <c r="AE71" s="147"/>
      <c r="AF71" s="147"/>
    </row>
    <row r="72" spans="1:32" ht="12.75">
      <c r="A72" s="458"/>
      <c r="B72" s="458"/>
      <c r="C72" s="525" t="s">
        <v>93</v>
      </c>
      <c r="D72" s="635">
        <f>I51</f>
      </c>
      <c r="E72" s="635">
        <f>G61</f>
      </c>
      <c r="F72" s="635">
        <f>K61</f>
      </c>
      <c r="G72" s="636">
        <f>IF(E51="","",D72+E72+F72)</f>
      </c>
      <c r="H72" s="560">
        <f>B61</f>
      </c>
      <c r="I72" s="622">
        <f>IF(E51="","",G72-H72)</f>
      </c>
      <c r="J72" s="458"/>
      <c r="K72" s="458"/>
      <c r="L72" s="458"/>
      <c r="M72" s="458"/>
      <c r="N72" s="458"/>
      <c r="O72" s="572"/>
      <c r="P72" s="638"/>
      <c r="Q72" s="638"/>
      <c r="R72" s="639"/>
      <c r="S72" s="638"/>
      <c r="T72" s="638"/>
      <c r="U72" s="458"/>
      <c r="V72" s="458"/>
      <c r="W72" s="458"/>
      <c r="X72" s="458"/>
      <c r="Y72" s="514"/>
      <c r="Z72" s="514"/>
      <c r="AA72" s="514"/>
      <c r="AB72" s="495"/>
      <c r="AC72" s="5"/>
      <c r="AD72" s="5"/>
      <c r="AE72" s="5"/>
      <c r="AF72" s="5"/>
    </row>
    <row r="73" spans="1:32" ht="12.75">
      <c r="A73" s="458"/>
      <c r="B73" s="458"/>
      <c r="C73" s="458"/>
      <c r="D73" s="458"/>
      <c r="E73" s="458"/>
      <c r="F73" s="458"/>
      <c r="G73" s="458"/>
      <c r="H73" s="458"/>
      <c r="I73" s="458"/>
      <c r="J73" s="458"/>
      <c r="K73" s="458"/>
      <c r="L73" s="458"/>
      <c r="M73" s="458"/>
      <c r="N73" s="458"/>
      <c r="O73" s="458"/>
      <c r="P73" s="458"/>
      <c r="Q73" s="458"/>
      <c r="R73" s="458"/>
      <c r="S73" s="458"/>
      <c r="T73" s="458"/>
      <c r="U73" s="458"/>
      <c r="V73" s="458"/>
      <c r="W73" s="458"/>
      <c r="X73" s="458"/>
      <c r="Y73" s="514"/>
      <c r="Z73" s="514"/>
      <c r="AA73" s="514"/>
      <c r="AB73" s="495"/>
      <c r="AC73" s="5"/>
      <c r="AD73" s="5"/>
      <c r="AE73" s="5"/>
      <c r="AF73" s="5"/>
    </row>
    <row r="74" spans="1:28" ht="12.75">
      <c r="A74" s="1033" t="s">
        <v>1113</v>
      </c>
      <c r="B74" s="1034"/>
      <c r="C74" s="1034"/>
      <c r="D74" s="1034"/>
      <c r="E74" s="1034"/>
      <c r="F74" s="1034"/>
      <c r="G74" s="1034"/>
      <c r="H74" s="1034"/>
      <c r="I74" s="1034"/>
      <c r="J74" s="1034"/>
      <c r="K74" s="1034"/>
      <c r="L74" s="458"/>
      <c r="M74" s="458"/>
      <c r="N74" s="458"/>
      <c r="O74" s="458"/>
      <c r="P74" s="458"/>
      <c r="Q74" s="458"/>
      <c r="R74" s="458"/>
      <c r="S74" s="458"/>
      <c r="T74" s="458"/>
      <c r="U74" s="458"/>
      <c r="V74" s="458"/>
      <c r="W74" s="458"/>
      <c r="X74" s="458"/>
      <c r="Y74" s="458"/>
      <c r="Z74" s="458"/>
      <c r="AA74" s="458"/>
      <c r="AB74" s="458"/>
    </row>
    <row r="75" spans="1:28" ht="12.75">
      <c r="A75" s="617"/>
      <c r="B75" s="592"/>
      <c r="C75" s="592"/>
      <c r="D75" s="592"/>
      <c r="E75" s="592"/>
      <c r="F75" s="592"/>
      <c r="G75" s="592"/>
      <c r="H75" s="592"/>
      <c r="I75" s="592"/>
      <c r="J75" s="592"/>
      <c r="K75" s="592"/>
      <c r="L75" s="458"/>
      <c r="M75" s="458"/>
      <c r="N75" s="458"/>
      <c r="O75" s="458" t="s">
        <v>67</v>
      </c>
      <c r="P75" s="458"/>
      <c r="Q75" s="458"/>
      <c r="R75" s="458"/>
      <c r="S75" s="458"/>
      <c r="T75" s="458"/>
      <c r="U75" s="458"/>
      <c r="V75" s="458"/>
      <c r="W75" s="458" t="s">
        <v>72</v>
      </c>
      <c r="X75" s="458"/>
      <c r="Y75" s="458"/>
      <c r="Z75" s="458"/>
      <c r="AA75" s="458"/>
      <c r="AB75" s="458"/>
    </row>
    <row r="76" spans="1:28" ht="15.75">
      <c r="A76" s="617"/>
      <c r="B76" s="458" t="s">
        <v>1121</v>
      </c>
      <c r="C76" s="592"/>
      <c r="D76" s="592"/>
      <c r="E76" s="532">
        <f>IF(Input!$B$6="","",IF(Input!$B$6="E","in.",IF(Input!$B$6="M","mm")))</f>
      </c>
      <c r="F76" s="458"/>
      <c r="G76" s="458" t="s">
        <v>1122</v>
      </c>
      <c r="H76" s="592"/>
      <c r="I76" s="592"/>
      <c r="J76" s="532">
        <f>IF(Input!$B$6="","",IF(Input!$B$6="E","in.",IF(Input!$B$6="M","mm")))</f>
      </c>
      <c r="K76" s="592"/>
      <c r="L76" s="458"/>
      <c r="M76" s="458"/>
      <c r="N76" s="458" t="s">
        <v>68</v>
      </c>
      <c r="O76" s="525" t="str">
        <f>C69</f>
        <v>A</v>
      </c>
      <c r="P76" s="525" t="e">
        <f>G69*0.97</f>
        <v>#VALUE!</v>
      </c>
      <c r="Q76" s="525" t="e">
        <f>IF(P76="","",INT(P76))</f>
        <v>#VALUE!</v>
      </c>
      <c r="R76" s="634" t="e">
        <f aca="true" t="shared" si="0" ref="R76:R84">(P76-INT(P76))</f>
        <v>#VALUE!</v>
      </c>
      <c r="S76" s="525" t="e">
        <f>IF(P76="","",VLOOKUP(R76,Data!$A$369:$C$402,3,TRUE))</f>
        <v>#VALUE!</v>
      </c>
      <c r="T76" s="525" t="e">
        <f aca="true" t="shared" si="1" ref="T76:T84">IF(((P76-INT(P76))&gt;0.96875),(INT(P76)+1),Q76&amp;" "&amp;S76)</f>
        <v>#VALUE!</v>
      </c>
      <c r="U76" s="458"/>
      <c r="V76" s="458" t="s">
        <v>68</v>
      </c>
      <c r="W76" s="525" t="str">
        <f>C69</f>
        <v>A</v>
      </c>
      <c r="X76" s="525" t="e">
        <f>I69*0.97</f>
        <v>#VALUE!</v>
      </c>
      <c r="Y76" s="525" t="e">
        <f>IF(X76="","",INT(X76))</f>
        <v>#VALUE!</v>
      </c>
      <c r="Z76" s="634" t="e">
        <f>(X76-INT(X76))</f>
        <v>#VALUE!</v>
      </c>
      <c r="AA76" s="525" t="e">
        <f>IF(X76="","",VLOOKUP(Z76,Data!$A$369:$C$402,3,TRUE))</f>
        <v>#VALUE!</v>
      </c>
      <c r="AB76" s="525" t="e">
        <f>IF(((X76-INT(X76))&gt;0.96875),(INT(X76)+1),Y76&amp;" "&amp;AA76)</f>
        <v>#VALUE!</v>
      </c>
    </row>
    <row r="77" spans="1:28" ht="15.75">
      <c r="A77" s="617"/>
      <c r="B77" s="592" t="s">
        <v>1114</v>
      </c>
      <c r="C77" s="592"/>
      <c r="D77" s="592"/>
      <c r="E77" s="532">
        <f>IF(Input!$B$6="","",IF(Input!$B$6="E","in.",IF(Input!$B$6="M","mm")))</f>
      </c>
      <c r="F77" s="458"/>
      <c r="G77" s="592" t="s">
        <v>1115</v>
      </c>
      <c r="H77" s="592"/>
      <c r="I77" s="592"/>
      <c r="J77" s="532">
        <f>IF(Input!$B$6="","",IF(Input!$B$6="E","in.",IF(Input!$B$6="M","mm")))</f>
      </c>
      <c r="K77" s="592"/>
      <c r="L77" s="458"/>
      <c r="M77" s="458"/>
      <c r="N77" s="458"/>
      <c r="O77" s="525" t="str">
        <f>C70</f>
        <v>B</v>
      </c>
      <c r="P77" s="525" t="e">
        <f>G70*0.97</f>
        <v>#VALUE!</v>
      </c>
      <c r="Q77" s="525" t="e">
        <f aca="true" t="shared" si="2" ref="Q77:Q91">IF(P77="","",INT(P77))</f>
        <v>#VALUE!</v>
      </c>
      <c r="R77" s="634" t="e">
        <f t="shared" si="0"/>
        <v>#VALUE!</v>
      </c>
      <c r="S77" s="525" t="e">
        <f>IF(P77="","",VLOOKUP(R77,Data!$A$369:$C$402,3,TRUE))</f>
        <v>#VALUE!</v>
      </c>
      <c r="T77" s="525" t="e">
        <f t="shared" si="1"/>
        <v>#VALUE!</v>
      </c>
      <c r="U77" s="458"/>
      <c r="V77" s="458"/>
      <c r="W77" s="525" t="str">
        <f>C70</f>
        <v>B</v>
      </c>
      <c r="X77" s="525" t="e">
        <f>I70*0.97</f>
        <v>#VALUE!</v>
      </c>
      <c r="Y77" s="525" t="e">
        <f aca="true" t="shared" si="3" ref="Y77:Y91">IF(X77="","",INT(X77))</f>
        <v>#VALUE!</v>
      </c>
      <c r="Z77" s="634" t="e">
        <f aca="true" t="shared" si="4" ref="Z77:Z83">(X77-INT(X77))</f>
        <v>#VALUE!</v>
      </c>
      <c r="AA77" s="525" t="e">
        <f>IF(X77="","",VLOOKUP(Z77,Data!$A$369:$C$402,3,TRUE))</f>
        <v>#VALUE!</v>
      </c>
      <c r="AB77" s="525" t="e">
        <f aca="true" t="shared" si="5" ref="AB77:AB83">IF(((X77-INT(X77))&gt;0.96875),(INT(X77)+1),Y77&amp;" "&amp;AA77)</f>
        <v>#VALUE!</v>
      </c>
    </row>
    <row r="78" spans="1:28" ht="12.75">
      <c r="A78" s="617"/>
      <c r="B78" s="592"/>
      <c r="C78" s="592"/>
      <c r="D78" s="592"/>
      <c r="E78" s="592"/>
      <c r="F78" s="592"/>
      <c r="G78" s="592"/>
      <c r="H78" s="592"/>
      <c r="I78" s="592"/>
      <c r="J78" s="592"/>
      <c r="K78" s="592"/>
      <c r="L78" s="458"/>
      <c r="M78" s="458"/>
      <c r="N78" s="458"/>
      <c r="O78" s="525" t="str">
        <f>C71</f>
        <v>C</v>
      </c>
      <c r="P78" s="525" t="e">
        <f>G71*0.97</f>
        <v>#VALUE!</v>
      </c>
      <c r="Q78" s="525" t="e">
        <f t="shared" si="2"/>
        <v>#VALUE!</v>
      </c>
      <c r="R78" s="634" t="e">
        <f t="shared" si="0"/>
        <v>#VALUE!</v>
      </c>
      <c r="S78" s="525" t="e">
        <f>IF(P78="","",VLOOKUP(R78,Data!$A$369:$C$402,3,TRUE))</f>
        <v>#VALUE!</v>
      </c>
      <c r="T78" s="525" t="e">
        <f t="shared" si="1"/>
        <v>#VALUE!</v>
      </c>
      <c r="U78" s="458"/>
      <c r="V78" s="458"/>
      <c r="W78" s="525" t="str">
        <f>C71</f>
        <v>C</v>
      </c>
      <c r="X78" s="525" t="e">
        <f>I71*0.97</f>
        <v>#VALUE!</v>
      </c>
      <c r="Y78" s="525" t="e">
        <f t="shared" si="3"/>
        <v>#VALUE!</v>
      </c>
      <c r="Z78" s="634" t="e">
        <f t="shared" si="4"/>
        <v>#VALUE!</v>
      </c>
      <c r="AA78" s="525" t="e">
        <f>IF(X78="","",VLOOKUP(Z78,Data!$A$369:$C$402,3,TRUE))</f>
        <v>#VALUE!</v>
      </c>
      <c r="AB78" s="525" t="e">
        <f t="shared" si="5"/>
        <v>#VALUE!</v>
      </c>
    </row>
    <row r="79" spans="1:28" ht="12.75">
      <c r="A79" s="512" t="s">
        <v>111</v>
      </c>
      <c r="B79" s="640" t="s">
        <v>828</v>
      </c>
      <c r="C79" s="580"/>
      <c r="D79" s="580"/>
      <c r="E79" s="580"/>
      <c r="F79" s="490"/>
      <c r="G79" s="640" t="s">
        <v>829</v>
      </c>
      <c r="H79" s="580"/>
      <c r="I79" s="580"/>
      <c r="J79" s="580"/>
      <c r="K79" s="490"/>
      <c r="L79" s="458"/>
      <c r="M79" s="458"/>
      <c r="N79" s="458"/>
      <c r="O79" s="525" t="str">
        <f>C72</f>
        <v>D</v>
      </c>
      <c r="P79" s="525" t="e">
        <f>G72*0.97</f>
        <v>#VALUE!</v>
      </c>
      <c r="Q79" s="525" t="e">
        <f t="shared" si="2"/>
        <v>#VALUE!</v>
      </c>
      <c r="R79" s="634" t="e">
        <f t="shared" si="0"/>
        <v>#VALUE!</v>
      </c>
      <c r="S79" s="525" t="e">
        <f>IF(P79="","",VLOOKUP(R79,Data!$A$369:$C$402,3,TRUE))</f>
        <v>#VALUE!</v>
      </c>
      <c r="T79" s="525" t="e">
        <f t="shared" si="1"/>
        <v>#VALUE!</v>
      </c>
      <c r="U79" s="458"/>
      <c r="V79" s="458"/>
      <c r="W79" s="525" t="str">
        <f>C72</f>
        <v>D</v>
      </c>
      <c r="X79" s="525" t="e">
        <f>I72*0.97</f>
        <v>#VALUE!</v>
      </c>
      <c r="Y79" s="525" t="e">
        <f t="shared" si="3"/>
        <v>#VALUE!</v>
      </c>
      <c r="Z79" s="634" t="e">
        <f t="shared" si="4"/>
        <v>#VALUE!</v>
      </c>
      <c r="AA79" s="525" t="e">
        <f>IF(X79="","",VLOOKUP(Z79,Data!$A$369:$C$402,3,TRUE))</f>
        <v>#VALUE!</v>
      </c>
      <c r="AB79" s="525" t="e">
        <f t="shared" si="5"/>
        <v>#VALUE!</v>
      </c>
    </row>
    <row r="80" spans="1:28" ht="15.75">
      <c r="A80" s="500"/>
      <c r="B80" s="641" t="s">
        <v>1111</v>
      </c>
      <c r="C80" s="458" t="s">
        <v>1120</v>
      </c>
      <c r="D80" s="458"/>
      <c r="E80" s="642" t="s">
        <v>60</v>
      </c>
      <c r="F80" s="458"/>
      <c r="G80" s="643" t="s">
        <v>1127</v>
      </c>
      <c r="H80" s="458" t="s">
        <v>57</v>
      </c>
      <c r="I80" s="458"/>
      <c r="J80" s="642" t="s">
        <v>61</v>
      </c>
      <c r="K80" s="487"/>
      <c r="L80" s="458"/>
      <c r="M80" s="458"/>
      <c r="N80" s="458" t="s">
        <v>69</v>
      </c>
      <c r="O80" s="525" t="str">
        <f>C69</f>
        <v>A</v>
      </c>
      <c r="P80" s="525" t="e">
        <f>G69*1.03</f>
        <v>#VALUE!</v>
      </c>
      <c r="Q80" s="525" t="e">
        <f t="shared" si="2"/>
        <v>#VALUE!</v>
      </c>
      <c r="R80" s="634" t="e">
        <f t="shared" si="0"/>
        <v>#VALUE!</v>
      </c>
      <c r="S80" s="525" t="e">
        <f>IF(P80="","",VLOOKUP(R80,Data!$A$369:$C$402,3,TRUE))</f>
        <v>#VALUE!</v>
      </c>
      <c r="T80" s="525" t="e">
        <f t="shared" si="1"/>
        <v>#VALUE!</v>
      </c>
      <c r="U80" s="458"/>
      <c r="V80" s="458" t="s">
        <v>69</v>
      </c>
      <c r="W80" s="525" t="str">
        <f>C69</f>
        <v>A</v>
      </c>
      <c r="X80" s="525" t="e">
        <f>I69*1.03</f>
        <v>#VALUE!</v>
      </c>
      <c r="Y80" s="525" t="e">
        <f t="shared" si="3"/>
        <v>#VALUE!</v>
      </c>
      <c r="Z80" s="634" t="e">
        <f t="shared" si="4"/>
        <v>#VALUE!</v>
      </c>
      <c r="AA80" s="525" t="e">
        <f>IF(X80="","",VLOOKUP(Z80,Data!$A$369:$C$402,3,TRUE))</f>
        <v>#VALUE!</v>
      </c>
      <c r="AB80" s="525" t="e">
        <f t="shared" si="5"/>
        <v>#VALUE!</v>
      </c>
    </row>
    <row r="81" spans="1:28" ht="15.75">
      <c r="A81" s="500"/>
      <c r="B81" s="644" t="s">
        <v>56</v>
      </c>
      <c r="C81" s="563" t="s">
        <v>1116</v>
      </c>
      <c r="D81" s="645" t="s">
        <v>1117</v>
      </c>
      <c r="E81" s="563" t="s">
        <v>1118</v>
      </c>
      <c r="F81" s="646" t="s">
        <v>1119</v>
      </c>
      <c r="G81" s="647" t="s">
        <v>56</v>
      </c>
      <c r="H81" s="516" t="s">
        <v>1125</v>
      </c>
      <c r="I81" s="648" t="s">
        <v>1126</v>
      </c>
      <c r="J81" s="563" t="s">
        <v>58</v>
      </c>
      <c r="K81" s="645" t="s">
        <v>59</v>
      </c>
      <c r="L81" s="458"/>
      <c r="M81" s="458"/>
      <c r="N81" s="458"/>
      <c r="O81" s="525" t="str">
        <f>C70</f>
        <v>B</v>
      </c>
      <c r="P81" s="525" t="e">
        <f>G70*1.03</f>
        <v>#VALUE!</v>
      </c>
      <c r="Q81" s="525" t="e">
        <f t="shared" si="2"/>
        <v>#VALUE!</v>
      </c>
      <c r="R81" s="634" t="e">
        <f t="shared" si="0"/>
        <v>#VALUE!</v>
      </c>
      <c r="S81" s="525" t="e">
        <f>IF(P81="","",VLOOKUP(R81,Data!$A$369:$C$402,3,TRUE))</f>
        <v>#VALUE!</v>
      </c>
      <c r="T81" s="525" t="e">
        <f t="shared" si="1"/>
        <v>#VALUE!</v>
      </c>
      <c r="U81" s="458"/>
      <c r="V81" s="458"/>
      <c r="W81" s="525" t="str">
        <f>C70</f>
        <v>B</v>
      </c>
      <c r="X81" s="525" t="e">
        <f>I70*1.03</f>
        <v>#VALUE!</v>
      </c>
      <c r="Y81" s="525" t="e">
        <f t="shared" si="3"/>
        <v>#VALUE!</v>
      </c>
      <c r="Z81" s="634" t="e">
        <f t="shared" si="4"/>
        <v>#VALUE!</v>
      </c>
      <c r="AA81" s="525" t="e">
        <f>IF(X81="","",VLOOKUP(Z81,Data!$A$369:$C$402,3,TRUE))</f>
        <v>#VALUE!</v>
      </c>
      <c r="AB81" s="525" t="e">
        <f t="shared" si="5"/>
        <v>#VALUE!</v>
      </c>
    </row>
    <row r="82" spans="1:30" ht="12.75">
      <c r="A82" s="506"/>
      <c r="B82" s="649">
        <f>IF(Input!$B$6="","",IF(Input!$B$6="E","Gross (in.)",IF(Input!$B$6="M","Gross (mm)")))</f>
      </c>
      <c r="C82" s="601" t="s">
        <v>555</v>
      </c>
      <c r="D82" s="601" t="s">
        <v>556</v>
      </c>
      <c r="E82" s="601" t="s">
        <v>555</v>
      </c>
      <c r="F82" s="650" t="s">
        <v>556</v>
      </c>
      <c r="G82" s="649">
        <f>IF(Input!$B$6="","",IF(Input!$B$6="E","Net (in.)",IF(Input!$B$6="M","Net (mm)")))</f>
      </c>
      <c r="H82" s="601" t="s">
        <v>555</v>
      </c>
      <c r="I82" s="601" t="s">
        <v>556</v>
      </c>
      <c r="J82" s="601" t="s">
        <v>555</v>
      </c>
      <c r="K82" s="601" t="s">
        <v>556</v>
      </c>
      <c r="L82" s="458"/>
      <c r="M82" s="458"/>
      <c r="N82" s="458"/>
      <c r="O82" s="525" t="str">
        <f>C71</f>
        <v>C</v>
      </c>
      <c r="P82" s="525" t="e">
        <f>G71*1.03</f>
        <v>#VALUE!</v>
      </c>
      <c r="Q82" s="525" t="e">
        <f t="shared" si="2"/>
        <v>#VALUE!</v>
      </c>
      <c r="R82" s="634" t="e">
        <f t="shared" si="0"/>
        <v>#VALUE!</v>
      </c>
      <c r="S82" s="525" t="e">
        <f>IF(P82="","",VLOOKUP(R82,Data!$A$369:$C$402,3,TRUE))</f>
        <v>#VALUE!</v>
      </c>
      <c r="T82" s="525" t="e">
        <f t="shared" si="1"/>
        <v>#VALUE!</v>
      </c>
      <c r="U82" s="458"/>
      <c r="V82" s="458"/>
      <c r="W82" s="525" t="str">
        <f>C71</f>
        <v>C</v>
      </c>
      <c r="X82" s="525" t="e">
        <f>I71*1.03</f>
        <v>#VALUE!</v>
      </c>
      <c r="Y82" s="525" t="e">
        <f t="shared" si="3"/>
        <v>#VALUE!</v>
      </c>
      <c r="Z82" s="634" t="e">
        <f t="shared" si="4"/>
        <v>#VALUE!</v>
      </c>
      <c r="AA82" s="525" t="e">
        <f>IF(X82="","",VLOOKUP(Z82,Data!$A$369:$C$402,3,TRUE))</f>
        <v>#VALUE!</v>
      </c>
      <c r="AB82" s="525" t="e">
        <f t="shared" si="5"/>
        <v>#VALUE!</v>
      </c>
      <c r="AD82" t="s">
        <v>795</v>
      </c>
    </row>
    <row r="83" spans="1:30" ht="12.75">
      <c r="A83" s="525" t="s">
        <v>90</v>
      </c>
      <c r="B83" s="1019">
        <f>IF(E48="","",IF(Input!$B$6="E",T68,G69))</f>
      </c>
      <c r="C83" s="652">
        <f>IF(E48="","",IF(Input!$B$6="E",T76,G69*0.97))</f>
      </c>
      <c r="D83" s="652">
        <f>IF(E48="","",IF(Input!$B$6="E",T80,G69*1.03))</f>
      </c>
      <c r="E83" s="652">
        <f>IF(E48="","",IF($AD$83="OK",IF(Input!$B$6="E",T84,G69*0.95),"NA"))</f>
      </c>
      <c r="F83" s="652">
        <f>IF(E48="","",IF($AD$83="OK",IF(Input!$B$6="E",T88,G69*1.05),"NA"))</f>
      </c>
      <c r="G83" s="651">
        <f>IF(E48="","",IF(Input!$B$6="E",AA68,I69))</f>
      </c>
      <c r="H83" s="652">
        <f>IF(E48="","",IF(Input!$B$6="E",AB76,I69*0.97))</f>
      </c>
      <c r="I83" s="652">
        <f>IF(E48="","",IF(Input!$B$6="E",AB80,I69*1.03))</f>
      </c>
      <c r="J83" s="652">
        <f>IF(E48="","",IF($AD$83="OK",IF(Input!$B$6="E",AB84,I69*0.95),"NA"))</f>
      </c>
      <c r="K83" s="652">
        <f>IF(E48="","",IF($AD$83="OK",IF(Input!$B$6="E",AB88,I69*1.05),"NA"))</f>
      </c>
      <c r="L83" s="458"/>
      <c r="M83" s="458"/>
      <c r="N83" s="458"/>
      <c r="O83" s="525" t="str">
        <f>C72</f>
        <v>D</v>
      </c>
      <c r="P83" s="525" t="e">
        <f>G72*1.03</f>
        <v>#VALUE!</v>
      </c>
      <c r="Q83" s="525" t="e">
        <f t="shared" si="2"/>
        <v>#VALUE!</v>
      </c>
      <c r="R83" s="634" t="e">
        <f t="shared" si="0"/>
        <v>#VALUE!</v>
      </c>
      <c r="S83" s="525" t="e">
        <f>IF(P83="","",VLOOKUP(R83,Data!$A$369:$C$402,3,TRUE))</f>
        <v>#VALUE!</v>
      </c>
      <c r="T83" s="525" t="e">
        <f t="shared" si="1"/>
        <v>#VALUE!</v>
      </c>
      <c r="U83" s="458"/>
      <c r="V83" s="458"/>
      <c r="W83" s="525" t="str">
        <f>C72</f>
        <v>D</v>
      </c>
      <c r="X83" s="525" t="e">
        <f>I72*1.03</f>
        <v>#VALUE!</v>
      </c>
      <c r="Y83" s="525" t="e">
        <f t="shared" si="3"/>
        <v>#VALUE!</v>
      </c>
      <c r="Z83" s="634" t="e">
        <f t="shared" si="4"/>
        <v>#VALUE!</v>
      </c>
      <c r="AA83" s="525" t="e">
        <f>IF(X83="","",VLOOKUP(Z83,Data!$A$369:$C$402,3,TRUE))</f>
        <v>#VALUE!</v>
      </c>
      <c r="AB83" s="525" t="e">
        <f t="shared" si="5"/>
        <v>#VALUE!</v>
      </c>
      <c r="AD83" s="652" t="str">
        <f>IF(DrapedStrands="Yes",IF('Setup Bm Input'!$B$46&lt;1.002000000001,"OK","NG"),"NG")</f>
        <v>NG</v>
      </c>
    </row>
    <row r="84" spans="1:28" ht="12.75">
      <c r="A84" s="525" t="s">
        <v>91</v>
      </c>
      <c r="B84" s="651">
        <f>IF(E49="","",IF(Input!$B$6="E",T69,G70))</f>
      </c>
      <c r="C84" s="652">
        <f>IF(E49="","",IF(Input!$B$6="E",T77,G70*0.97))</f>
      </c>
      <c r="D84" s="652">
        <f>IF(E49="","",IF(Input!$B$6="E",T81,G70*1.03))</f>
      </c>
      <c r="E84" s="652">
        <f>IF(E49="","",IF($AD$83="OK",IF(Input!$B$6="E",T85,G70*0.95),"NA"))</f>
      </c>
      <c r="F84" s="652">
        <f>IF(E49="","",IF($AD$83="OK",IF(Input!$B$6="E",T89,G70*1.05),"NA"))</f>
      </c>
      <c r="G84" s="651">
        <f>IF(E49="","",IF(Input!$B$6="E",AA69,I70))</f>
      </c>
      <c r="H84" s="652">
        <f>IF(E49="","",IF(Input!$B$6="E",AB77,I70*0.97))</f>
      </c>
      <c r="I84" s="652">
        <f>IF(E49="","",IF(Input!$B$6="E",AB81,I70*1.03))</f>
      </c>
      <c r="J84" s="652">
        <f>IF(E49="","",IF($AD$83="OK",IF(Input!$B$6="E",AB85,I70*0.95),"NA"))</f>
      </c>
      <c r="K84" s="652">
        <f>IF(E49="","",IF($AD$83="OK",IF(Input!$B$6="E",AB89,I70*1.05),"NA"))</f>
      </c>
      <c r="L84" s="458"/>
      <c r="M84" s="458"/>
      <c r="N84" s="458" t="s">
        <v>70</v>
      </c>
      <c r="O84" s="525" t="str">
        <f>C69</f>
        <v>A</v>
      </c>
      <c r="P84" s="525" t="e">
        <f>G69*0.95</f>
        <v>#VALUE!</v>
      </c>
      <c r="Q84" s="525" t="e">
        <f>IF(P84="","",INT(P84))</f>
        <v>#VALUE!</v>
      </c>
      <c r="R84" s="634" t="e">
        <f t="shared" si="0"/>
        <v>#VALUE!</v>
      </c>
      <c r="S84" s="525" t="e">
        <f>IF(P84="","",VLOOKUP(R84,Data!$A$369:$C$402,3,TRUE))</f>
        <v>#VALUE!</v>
      </c>
      <c r="T84" s="525" t="e">
        <f t="shared" si="1"/>
        <v>#VALUE!</v>
      </c>
      <c r="U84" s="458"/>
      <c r="V84" s="458" t="s">
        <v>70</v>
      </c>
      <c r="W84" s="525" t="str">
        <f>C69</f>
        <v>A</v>
      </c>
      <c r="X84" s="525" t="e">
        <f>I69*0.95</f>
        <v>#VALUE!</v>
      </c>
      <c r="Y84" s="525" t="e">
        <f>IF(X84="","",INT(X84))</f>
        <v>#VALUE!</v>
      </c>
      <c r="Z84" s="634" t="e">
        <f>(X84-INT(X84))</f>
        <v>#VALUE!</v>
      </c>
      <c r="AA84" s="525" t="e">
        <f>IF(X84="","",VLOOKUP(Z84,Data!$A$369:$C$402,3,TRUE))</f>
        <v>#VALUE!</v>
      </c>
      <c r="AB84" s="525" t="e">
        <f>IF(((X84-INT(X84))&gt;0.96875),(INT(X84)+1),Y84&amp;" "&amp;AA84)</f>
        <v>#VALUE!</v>
      </c>
    </row>
    <row r="85" spans="1:28" ht="12.75">
      <c r="A85" s="630" t="s">
        <v>92</v>
      </c>
      <c r="B85" s="651">
        <f>IF(E50="","",IF(Input!$B$6="E",T70,G71))</f>
      </c>
      <c r="C85" s="652">
        <f>IF(E50="","",IF(Input!$B$6="E",T78,G71*0.97))</f>
      </c>
      <c r="D85" s="652">
        <f>IF(E50="","",IF(Input!$B$6="E",T82,G71*1.03))</f>
      </c>
      <c r="E85" s="652">
        <f>IF(E50="","",IF($AD$83="OK",IF(Input!$B$6="E",T86,G71*0.95),"NA"))</f>
      </c>
      <c r="F85" s="652">
        <f>IF(E50="","",IF($AD$83="OK",IF(Input!$B$6="E",T90,G71*1.05),"NA"))</f>
      </c>
      <c r="G85" s="651">
        <f>IF(E50="","",IF(Input!$B$6="E",AA70,I71))</f>
      </c>
      <c r="H85" s="652">
        <f>IF(E50="","",IF(Input!$B$6="E",AB78,I71*0.97))</f>
      </c>
      <c r="I85" s="652">
        <f>IF(E50="","",IF(Input!$B$6="E",AB82,I71*1.03))</f>
      </c>
      <c r="J85" s="652">
        <f>IF(E50="","",IF($AD$83="OK",IF(Input!$B$6="E",AB86,I71*0.95),"NA"))</f>
      </c>
      <c r="K85" s="652">
        <f>IF(E50="","",IF($AD$83="OK",IF(Input!$B$6="E",AB90,I71*1.05),"NA"))</f>
      </c>
      <c r="L85" s="458"/>
      <c r="M85" s="458"/>
      <c r="N85" s="458"/>
      <c r="O85" s="525" t="str">
        <f>C70</f>
        <v>B</v>
      </c>
      <c r="P85" s="525" t="e">
        <f>G70*0.95</f>
        <v>#VALUE!</v>
      </c>
      <c r="Q85" s="525" t="e">
        <f t="shared" si="2"/>
        <v>#VALUE!</v>
      </c>
      <c r="R85" s="634" t="e">
        <f aca="true" t="shared" si="6" ref="R85:R91">(P85-INT(P85))</f>
        <v>#VALUE!</v>
      </c>
      <c r="S85" s="525" t="e">
        <f>IF(P85="","",VLOOKUP(R85,Data!$A$369:$C$402,3,TRUE))</f>
        <v>#VALUE!</v>
      </c>
      <c r="T85" s="525" t="e">
        <f aca="true" t="shared" si="7" ref="T85:T91">IF(((P85-INT(P85))&gt;0.96875),(INT(P85)+1),Q85&amp;" "&amp;S85)</f>
        <v>#VALUE!</v>
      </c>
      <c r="U85" s="458"/>
      <c r="V85" s="458"/>
      <c r="W85" s="525" t="str">
        <f>C70</f>
        <v>B</v>
      </c>
      <c r="X85" s="525" t="e">
        <f>I70*0.95</f>
        <v>#VALUE!</v>
      </c>
      <c r="Y85" s="525" t="e">
        <f t="shared" si="3"/>
        <v>#VALUE!</v>
      </c>
      <c r="Z85" s="634" t="e">
        <f aca="true" t="shared" si="8" ref="Z85:Z91">(X85-INT(X85))</f>
        <v>#VALUE!</v>
      </c>
      <c r="AA85" s="525" t="e">
        <f>IF(X85="","",VLOOKUP(Z85,Data!$A$369:$C$402,3,TRUE))</f>
        <v>#VALUE!</v>
      </c>
      <c r="AB85" s="525" t="e">
        <f aca="true" t="shared" si="9" ref="AB85:AB91">IF(((X85-INT(X85))&gt;0.96875),(INT(X85)+1),Y85&amp;" "&amp;AA85)</f>
        <v>#VALUE!</v>
      </c>
    </row>
    <row r="86" spans="1:28" ht="12.75">
      <c r="A86" s="525" t="s">
        <v>93</v>
      </c>
      <c r="B86" s="651">
        <f>IF(E51="","",IF(Input!$B$6="E",T71,G72))</f>
      </c>
      <c r="C86" s="652">
        <f>IF(E51="","",IF(Input!$B$6="E",T79,G72*0.97))</f>
      </c>
      <c r="D86" s="652">
        <f>IF(E51="","",IF(Input!$B$6="E",T83,G72*1.03))</f>
      </c>
      <c r="E86" s="652">
        <f>IF(E51="","",IF($AD$83="OK",IF(Input!$B$6="E",T87,G72*0.95),"NA"))</f>
      </c>
      <c r="F86" s="652">
        <f>IF(E51="","",IF($AD$83="OK",IF(Input!$B$6="E",T91,G72*1.05),"NA"))</f>
      </c>
      <c r="G86" s="651">
        <f>IF(E51="","",IF(Input!$B$6="E",AA71,I72))</f>
      </c>
      <c r="H86" s="652">
        <f>IF(E51="","",IF(Input!$B$6="E",AB79,I72*0.97))</f>
      </c>
      <c r="I86" s="652">
        <f>IF(E51="","",IF(Input!$B$6="E",AB83,I72*1.03))</f>
      </c>
      <c r="J86" s="652">
        <f>IF(E51="","",IF($AD$83="OK",IF(Input!$B$6="E",AB87,I72*0.95),"NA"))</f>
      </c>
      <c r="K86" s="652">
        <f>IF(E51="","",IF($AD$83="OK",IF(Input!$B$6="E",AB91,I72*1.05),"NA"))</f>
      </c>
      <c r="L86" s="458"/>
      <c r="M86" s="458"/>
      <c r="N86" s="458"/>
      <c r="O86" s="525" t="str">
        <f>C71</f>
        <v>C</v>
      </c>
      <c r="P86" s="525" t="e">
        <f>G71*0.95</f>
        <v>#VALUE!</v>
      </c>
      <c r="Q86" s="525" t="e">
        <f t="shared" si="2"/>
        <v>#VALUE!</v>
      </c>
      <c r="R86" s="634" t="e">
        <f t="shared" si="6"/>
        <v>#VALUE!</v>
      </c>
      <c r="S86" s="525" t="e">
        <f>IF(P86="","",VLOOKUP(R86,Data!$A$369:$C$402,3,TRUE))</f>
        <v>#VALUE!</v>
      </c>
      <c r="T86" s="525" t="e">
        <f t="shared" si="7"/>
        <v>#VALUE!</v>
      </c>
      <c r="U86" s="458"/>
      <c r="V86" s="458"/>
      <c r="W86" s="525" t="str">
        <f>C71</f>
        <v>C</v>
      </c>
      <c r="X86" s="525" t="e">
        <f>I71*0.95</f>
        <v>#VALUE!</v>
      </c>
      <c r="Y86" s="525" t="e">
        <f t="shared" si="3"/>
        <v>#VALUE!</v>
      </c>
      <c r="Z86" s="634" t="e">
        <f t="shared" si="8"/>
        <v>#VALUE!</v>
      </c>
      <c r="AA86" s="525" t="e">
        <f>IF(X86="","",VLOOKUP(Z86,Data!$A$369:$C$402,3,TRUE))</f>
        <v>#VALUE!</v>
      </c>
      <c r="AB86" s="525" t="e">
        <f t="shared" si="9"/>
        <v>#VALUE!</v>
      </c>
    </row>
    <row r="87" spans="1:28" ht="12.75">
      <c r="A87" s="458"/>
      <c r="B87" s="458"/>
      <c r="C87" s="458"/>
      <c r="D87" s="458"/>
      <c r="E87" s="458"/>
      <c r="F87" s="458"/>
      <c r="G87" s="458"/>
      <c r="H87" s="458"/>
      <c r="I87" s="458"/>
      <c r="J87" s="458"/>
      <c r="K87" s="458"/>
      <c r="L87" s="458"/>
      <c r="M87" s="458"/>
      <c r="N87" s="458"/>
      <c r="O87" s="525" t="str">
        <f>C72</f>
        <v>D</v>
      </c>
      <c r="P87" s="525" t="e">
        <f>G72*0.95</f>
        <v>#VALUE!</v>
      </c>
      <c r="Q87" s="525" t="e">
        <f t="shared" si="2"/>
        <v>#VALUE!</v>
      </c>
      <c r="R87" s="634" t="e">
        <f t="shared" si="6"/>
        <v>#VALUE!</v>
      </c>
      <c r="S87" s="525" t="e">
        <f>IF(P87="","",VLOOKUP(R87,Data!$A$369:$C$402,3,TRUE))</f>
        <v>#VALUE!</v>
      </c>
      <c r="T87" s="525" t="e">
        <f t="shared" si="7"/>
        <v>#VALUE!</v>
      </c>
      <c r="U87" s="458"/>
      <c r="V87" s="458"/>
      <c r="W87" s="525" t="str">
        <f>C72</f>
        <v>D</v>
      </c>
      <c r="X87" s="525" t="e">
        <f>I72*0.95</f>
        <v>#VALUE!</v>
      </c>
      <c r="Y87" s="525" t="e">
        <f t="shared" si="3"/>
        <v>#VALUE!</v>
      </c>
      <c r="Z87" s="634" t="e">
        <f t="shared" si="8"/>
        <v>#VALUE!</v>
      </c>
      <c r="AA87" s="525" t="e">
        <f>IF(X87="","",VLOOKUP(Z87,Data!$A$369:$C$402,3,TRUE))</f>
        <v>#VALUE!</v>
      </c>
      <c r="AB87" s="525" t="e">
        <f t="shared" si="9"/>
        <v>#VALUE!</v>
      </c>
    </row>
    <row r="88" spans="1:28" ht="12.75">
      <c r="A88" s="458"/>
      <c r="B88" s="458"/>
      <c r="C88" s="458"/>
      <c r="D88" s="458"/>
      <c r="E88" s="458"/>
      <c r="F88" s="458"/>
      <c r="G88" s="458"/>
      <c r="H88" s="458"/>
      <c r="I88" s="458"/>
      <c r="J88" s="458"/>
      <c r="K88" s="458"/>
      <c r="L88" s="458"/>
      <c r="M88" s="458"/>
      <c r="N88" s="458" t="s">
        <v>71</v>
      </c>
      <c r="O88" s="525" t="str">
        <f>C69</f>
        <v>A</v>
      </c>
      <c r="P88" s="525" t="e">
        <f>G69*1.05</f>
        <v>#VALUE!</v>
      </c>
      <c r="Q88" s="525" t="e">
        <f t="shared" si="2"/>
        <v>#VALUE!</v>
      </c>
      <c r="R88" s="634" t="e">
        <f t="shared" si="6"/>
        <v>#VALUE!</v>
      </c>
      <c r="S88" s="525" t="e">
        <f>IF(P88="","",VLOOKUP(R88,Data!$A$369:$C$402,3,TRUE))</f>
        <v>#VALUE!</v>
      </c>
      <c r="T88" s="525" t="e">
        <f t="shared" si="7"/>
        <v>#VALUE!</v>
      </c>
      <c r="U88" s="458"/>
      <c r="V88" s="458" t="s">
        <v>71</v>
      </c>
      <c r="W88" s="525" t="str">
        <f>C69</f>
        <v>A</v>
      </c>
      <c r="X88" s="525" t="e">
        <f>I69*1.05</f>
        <v>#VALUE!</v>
      </c>
      <c r="Y88" s="525" t="e">
        <f t="shared" si="3"/>
        <v>#VALUE!</v>
      </c>
      <c r="Z88" s="634" t="e">
        <f t="shared" si="8"/>
        <v>#VALUE!</v>
      </c>
      <c r="AA88" s="525" t="e">
        <f>IF(X88="","",VLOOKUP(Z88,Data!$A$369:$C$402,3,TRUE))</f>
        <v>#VALUE!</v>
      </c>
      <c r="AB88" s="525" t="e">
        <f t="shared" si="9"/>
        <v>#VALUE!</v>
      </c>
    </row>
    <row r="89" spans="1:28" ht="12.75">
      <c r="A89" s="618" t="s">
        <v>98</v>
      </c>
      <c r="B89" s="788"/>
      <c r="C89" s="117"/>
      <c r="D89" s="117"/>
      <c r="E89" s="117"/>
      <c r="F89" s="117"/>
      <c r="G89" s="117"/>
      <c r="H89" s="117"/>
      <c r="I89" s="117"/>
      <c r="J89" s="117"/>
      <c r="K89" s="117"/>
      <c r="L89" s="458"/>
      <c r="M89" s="458"/>
      <c r="N89" s="458"/>
      <c r="O89" s="525" t="str">
        <f>C70</f>
        <v>B</v>
      </c>
      <c r="P89" s="525" t="e">
        <f>G70*1.05</f>
        <v>#VALUE!</v>
      </c>
      <c r="Q89" s="525" t="e">
        <f t="shared" si="2"/>
        <v>#VALUE!</v>
      </c>
      <c r="R89" s="634" t="e">
        <f t="shared" si="6"/>
        <v>#VALUE!</v>
      </c>
      <c r="S89" s="525" t="e">
        <f>IF(P89="","",VLOOKUP(R89,Data!$A$369:$C$402,3,TRUE))</f>
        <v>#VALUE!</v>
      </c>
      <c r="T89" s="525" t="e">
        <f t="shared" si="7"/>
        <v>#VALUE!</v>
      </c>
      <c r="U89" s="458"/>
      <c r="V89" s="458"/>
      <c r="W89" s="525" t="str">
        <f>C70</f>
        <v>B</v>
      </c>
      <c r="X89" s="525" t="e">
        <f>I70*1.05</f>
        <v>#VALUE!</v>
      </c>
      <c r="Y89" s="525" t="e">
        <f t="shared" si="3"/>
        <v>#VALUE!</v>
      </c>
      <c r="Z89" s="634" t="e">
        <f t="shared" si="8"/>
        <v>#VALUE!</v>
      </c>
      <c r="AA89" s="525" t="e">
        <f>IF(X89="","",VLOOKUP(Z89,Data!$A$369:$C$402,3,TRUE))</f>
        <v>#VALUE!</v>
      </c>
      <c r="AB89" s="525" t="e">
        <f t="shared" si="9"/>
        <v>#VALUE!</v>
      </c>
    </row>
    <row r="90" spans="1:28" ht="12.75">
      <c r="A90" s="458"/>
      <c r="B90" s="657"/>
      <c r="C90" s="657"/>
      <c r="D90" s="657"/>
      <c r="E90" s="657"/>
      <c r="F90" s="657"/>
      <c r="G90" s="657"/>
      <c r="H90" s="657"/>
      <c r="I90" s="657"/>
      <c r="J90" s="657"/>
      <c r="K90" s="657"/>
      <c r="L90" s="458"/>
      <c r="M90" s="458"/>
      <c r="N90" s="458"/>
      <c r="O90" s="525" t="str">
        <f>C71</f>
        <v>C</v>
      </c>
      <c r="P90" s="525" t="e">
        <f>G71*1.05</f>
        <v>#VALUE!</v>
      </c>
      <c r="Q90" s="525" t="e">
        <f t="shared" si="2"/>
        <v>#VALUE!</v>
      </c>
      <c r="R90" s="634" t="e">
        <f t="shared" si="6"/>
        <v>#VALUE!</v>
      </c>
      <c r="S90" s="525" t="e">
        <f>IF(P90="","",VLOOKUP(R90,Data!$A$369:$C$402,3,TRUE))</f>
        <v>#VALUE!</v>
      </c>
      <c r="T90" s="525" t="e">
        <f t="shared" si="7"/>
        <v>#VALUE!</v>
      </c>
      <c r="U90" s="458"/>
      <c r="V90" s="458"/>
      <c r="W90" s="525" t="str">
        <f>C71</f>
        <v>C</v>
      </c>
      <c r="X90" s="525" t="e">
        <f>I71*1.05</f>
        <v>#VALUE!</v>
      </c>
      <c r="Y90" s="525" t="e">
        <f t="shared" si="3"/>
        <v>#VALUE!</v>
      </c>
      <c r="Z90" s="634" t="e">
        <f t="shared" si="8"/>
        <v>#VALUE!</v>
      </c>
      <c r="AA90" s="525" t="e">
        <f>IF(X90="","",VLOOKUP(Z90,Data!$A$369:$C$402,3,TRUE))</f>
        <v>#VALUE!</v>
      </c>
      <c r="AB90" s="525" t="e">
        <f t="shared" si="9"/>
        <v>#VALUE!</v>
      </c>
    </row>
    <row r="91" spans="1:28" ht="12.75">
      <c r="A91" s="117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458"/>
      <c r="M91" s="458"/>
      <c r="N91" s="458"/>
      <c r="O91" s="525" t="str">
        <f>C72</f>
        <v>D</v>
      </c>
      <c r="P91" s="525" t="e">
        <f>G72*1.05</f>
        <v>#VALUE!</v>
      </c>
      <c r="Q91" s="525" t="e">
        <f t="shared" si="2"/>
        <v>#VALUE!</v>
      </c>
      <c r="R91" s="634" t="e">
        <f t="shared" si="6"/>
        <v>#VALUE!</v>
      </c>
      <c r="S91" s="525" t="e">
        <f>IF(P91="","",VLOOKUP(R91,Data!$A$369:$C$402,3,TRUE))</f>
        <v>#VALUE!</v>
      </c>
      <c r="T91" s="525" t="e">
        <f t="shared" si="7"/>
        <v>#VALUE!</v>
      </c>
      <c r="U91" s="458"/>
      <c r="V91" s="458"/>
      <c r="W91" s="525" t="str">
        <f>C72</f>
        <v>D</v>
      </c>
      <c r="X91" s="525" t="e">
        <f>I72*1.05</f>
        <v>#VALUE!</v>
      </c>
      <c r="Y91" s="525" t="e">
        <f t="shared" si="3"/>
        <v>#VALUE!</v>
      </c>
      <c r="Z91" s="634" t="e">
        <f t="shared" si="8"/>
        <v>#VALUE!</v>
      </c>
      <c r="AA91" s="525" t="e">
        <f>IF(X91="","",VLOOKUP(Z91,Data!$A$369:$C$402,3,TRUE))</f>
        <v>#VALUE!</v>
      </c>
      <c r="AB91" s="525" t="e">
        <f t="shared" si="9"/>
        <v>#VALUE!</v>
      </c>
    </row>
    <row r="92" spans="1:28" ht="12.75">
      <c r="A92" s="458"/>
      <c r="B92" s="458"/>
      <c r="C92" s="458"/>
      <c r="D92" s="458"/>
      <c r="E92" s="458"/>
      <c r="F92" s="458"/>
      <c r="G92" s="458"/>
      <c r="H92" s="458"/>
      <c r="I92" s="458"/>
      <c r="J92" s="458"/>
      <c r="K92" s="458"/>
      <c r="L92" s="458"/>
      <c r="M92" s="653"/>
      <c r="N92" s="458"/>
      <c r="O92" s="510"/>
      <c r="P92" s="654"/>
      <c r="Q92" s="654"/>
      <c r="R92" s="654"/>
      <c r="S92" s="654"/>
      <c r="T92" s="458"/>
      <c r="U92" s="458"/>
      <c r="V92" s="458"/>
      <c r="W92" s="458"/>
      <c r="X92" s="458"/>
      <c r="Y92" s="458"/>
      <c r="Z92" s="458"/>
      <c r="AA92" s="458"/>
      <c r="AB92" s="458"/>
    </row>
    <row r="93" spans="1:28" ht="12.75">
      <c r="A93" s="458"/>
      <c r="B93" s="458"/>
      <c r="C93" s="458"/>
      <c r="D93" s="458"/>
      <c r="E93" s="458"/>
      <c r="F93" s="655" t="s">
        <v>967</v>
      </c>
      <c r="G93" s="534">
        <f>IF(Input!E14="","",Input!E14)</f>
      </c>
      <c r="H93" s="580"/>
      <c r="I93" s="490"/>
      <c r="J93" s="458"/>
      <c r="K93" s="458"/>
      <c r="L93" s="458"/>
      <c r="M93" s="458"/>
      <c r="N93" s="458"/>
      <c r="O93" s="458"/>
      <c r="P93" s="458"/>
      <c r="Q93" s="458"/>
      <c r="R93" s="458"/>
      <c r="S93" s="458"/>
      <c r="T93" s="458"/>
      <c r="U93" s="458"/>
      <c r="V93" s="458"/>
      <c r="W93" s="458"/>
      <c r="X93" s="458"/>
      <c r="Y93" s="458"/>
      <c r="Z93" s="458"/>
      <c r="AA93" s="458"/>
      <c r="AB93" s="458"/>
    </row>
    <row r="94" spans="1:28" ht="12.75">
      <c r="A94" s="656" t="s">
        <v>1208</v>
      </c>
      <c r="B94" s="656"/>
      <c r="C94" s="458"/>
      <c r="D94" s="458"/>
      <c r="E94" s="458"/>
      <c r="F94" s="458"/>
      <c r="G94" s="458"/>
      <c r="H94" s="458"/>
      <c r="I94" s="458"/>
      <c r="J94" s="458"/>
      <c r="K94" s="458"/>
      <c r="L94" s="458"/>
      <c r="M94" s="458"/>
      <c r="N94" s="458"/>
      <c r="O94" s="458"/>
      <c r="P94" s="458"/>
      <c r="Q94" s="458"/>
      <c r="R94" s="458"/>
      <c r="S94" s="458"/>
      <c r="T94" s="458"/>
      <c r="U94" s="458"/>
      <c r="V94" s="458"/>
      <c r="W94" s="458"/>
      <c r="X94" s="458"/>
      <c r="Y94" s="458"/>
      <c r="Z94" s="458"/>
      <c r="AA94" s="458"/>
      <c r="AB94" s="458"/>
    </row>
  </sheetData>
  <sheetProtection sheet="1"/>
  <mergeCells count="11">
    <mergeCell ref="A74:K74"/>
    <mergeCell ref="A27:K27"/>
    <mergeCell ref="A41:K41"/>
    <mergeCell ref="A53:K53"/>
    <mergeCell ref="A63:K63"/>
    <mergeCell ref="D14:D17"/>
    <mergeCell ref="A1:C1"/>
    <mergeCell ref="A10:K10"/>
    <mergeCell ref="A11:K11"/>
    <mergeCell ref="A12:K12"/>
    <mergeCell ref="A13:K13"/>
  </mergeCells>
  <printOptions horizontalCentered="1"/>
  <pageMargins left="0.5" right="0.5" top="0.5" bottom="0.5" header="0" footer="0"/>
  <pageSetup fitToHeight="1" fitToWidth="1" horizontalDpi="600" verticalDpi="600" orientation="portrait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IQ84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2" width="13.8515625" style="0" customWidth="1"/>
    <col min="3" max="3" width="14.8515625" style="0" customWidth="1"/>
    <col min="4" max="4" width="15.00390625" style="0" customWidth="1"/>
    <col min="5" max="5" width="11.28125" style="0" customWidth="1"/>
    <col min="6" max="6" width="14.421875" style="0" customWidth="1"/>
    <col min="7" max="7" width="11.7109375" style="0" customWidth="1"/>
    <col min="8" max="8" width="13.421875" style="0" customWidth="1"/>
    <col min="9" max="9" width="12.7109375" style="0" customWidth="1"/>
    <col min="10" max="10" width="11.140625" style="0" customWidth="1"/>
  </cols>
  <sheetData>
    <row r="1" spans="1:251" ht="12.75">
      <c r="A1" s="1020" t="s">
        <v>835</v>
      </c>
      <c r="B1" s="1026"/>
      <c r="C1" s="1026"/>
      <c r="D1" s="495"/>
      <c r="E1" s="495"/>
      <c r="F1" s="495"/>
      <c r="G1" s="495"/>
      <c r="H1" s="495"/>
      <c r="I1" s="495"/>
      <c r="J1" s="495"/>
      <c r="K1" s="458"/>
      <c r="IQ1" s="13">
        <f>IF(Data!D78="","",Data!D78)</f>
        <v>0</v>
      </c>
    </row>
    <row r="2" spans="1:251" ht="12.75">
      <c r="A2" s="495"/>
      <c r="B2" s="514"/>
      <c r="C2" s="514"/>
      <c r="D2" s="514"/>
      <c r="E2" s="514"/>
      <c r="F2" s="514"/>
      <c r="G2" s="514"/>
      <c r="H2" s="514"/>
      <c r="I2" s="514"/>
      <c r="J2" s="495"/>
      <c r="K2" s="458"/>
      <c r="IQ2" s="13">
        <f>IF(Data!D79="","",Data!D79)</f>
        <v>0</v>
      </c>
    </row>
    <row r="3" spans="1:251" ht="12.75">
      <c r="A3" s="530"/>
      <c r="B3" s="549"/>
      <c r="C3" s="509"/>
      <c r="D3" s="509"/>
      <c r="E3" s="549"/>
      <c r="F3" s="610"/>
      <c r="G3" s="515"/>
      <c r="H3" s="518"/>
      <c r="I3" s="518"/>
      <c r="J3" s="495"/>
      <c r="K3" s="458"/>
      <c r="IQ3" s="13">
        <f>IF(Data!D80="","",Data!D80)</f>
        <v>0</v>
      </c>
    </row>
    <row r="4" spans="1:251" ht="12.75">
      <c r="A4" s="530"/>
      <c r="B4" s="549"/>
      <c r="C4" s="509"/>
      <c r="D4" s="509"/>
      <c r="E4" s="549"/>
      <c r="F4" s="610"/>
      <c r="G4" s="515"/>
      <c r="H4" s="518"/>
      <c r="I4" s="518"/>
      <c r="J4" s="495"/>
      <c r="K4" s="458"/>
      <c r="IQ4" s="13">
        <f>IF(Data!D81="","",Data!D81)</f>
        <v>0</v>
      </c>
    </row>
    <row r="5" spans="1:251" ht="12.75">
      <c r="A5" s="530"/>
      <c r="B5" s="549"/>
      <c r="C5" s="509"/>
      <c r="D5" s="509"/>
      <c r="E5" s="549"/>
      <c r="F5" s="610"/>
      <c r="G5" s="515"/>
      <c r="H5" s="518"/>
      <c r="I5" s="518"/>
      <c r="J5" s="495"/>
      <c r="K5" s="458"/>
      <c r="IQ5" s="13">
        <f>IF(Data!D82="","",Data!D82)</f>
        <v>0</v>
      </c>
    </row>
    <row r="6" spans="1:251" ht="12.75">
      <c r="A6" s="530"/>
      <c r="B6" s="549"/>
      <c r="C6" s="509"/>
      <c r="D6" s="509"/>
      <c r="E6" s="549"/>
      <c r="F6" s="610"/>
      <c r="G6" s="515"/>
      <c r="H6" s="518"/>
      <c r="I6" s="518"/>
      <c r="J6" s="495"/>
      <c r="K6" s="458"/>
      <c r="IQ6" s="13">
        <f>IF(Data!D83="","",Data!D83)</f>
        <v>0</v>
      </c>
    </row>
    <row r="7" spans="1:251" ht="12.75">
      <c r="A7" s="611"/>
      <c r="B7" s="495"/>
      <c r="C7" s="495"/>
      <c r="D7" s="495"/>
      <c r="E7" s="514"/>
      <c r="F7" s="495"/>
      <c r="G7" s="495"/>
      <c r="H7" s="495"/>
      <c r="I7" s="495"/>
      <c r="J7" s="495"/>
      <c r="K7" s="458"/>
      <c r="IQ7" s="13">
        <f>IF(Data!D84="","",Data!D84)</f>
        <v>0</v>
      </c>
    </row>
    <row r="8" spans="1:251" ht="4.5" customHeight="1">
      <c r="A8" s="612"/>
      <c r="B8" s="613"/>
      <c r="C8" s="613"/>
      <c r="D8" s="613"/>
      <c r="E8" s="613"/>
      <c r="F8" s="613"/>
      <c r="G8" s="613"/>
      <c r="H8" s="613"/>
      <c r="I8" s="613"/>
      <c r="J8" s="613"/>
      <c r="K8" s="614"/>
      <c r="IQ8" s="13">
        <f>IF(Data!D85="","",Data!D85)</f>
        <v>0</v>
      </c>
    </row>
    <row r="9" spans="1:251" ht="12.75">
      <c r="A9" s="459" t="s">
        <v>1171</v>
      </c>
      <c r="B9" s="553"/>
      <c r="C9" s="553"/>
      <c r="D9" s="553"/>
      <c r="E9" s="553"/>
      <c r="F9" s="553"/>
      <c r="G9" s="553"/>
      <c r="H9" s="553"/>
      <c r="I9" s="553"/>
      <c r="J9" s="7" t="str">
        <f>Main!J1</f>
        <v>Revised 4/22/16</v>
      </c>
      <c r="K9" s="553"/>
      <c r="IQ9" s="13">
        <f>IF(Data!D86="","",Data!D86)</f>
        <v>0</v>
      </c>
    </row>
    <row r="10" spans="1:251" ht="15.75">
      <c r="A10" s="1027" t="s">
        <v>84</v>
      </c>
      <c r="B10" s="1028"/>
      <c r="C10" s="1028"/>
      <c r="D10" s="1028"/>
      <c r="E10" s="1028"/>
      <c r="F10" s="1028"/>
      <c r="G10" s="1028"/>
      <c r="H10" s="1028"/>
      <c r="I10" s="1028"/>
      <c r="J10" s="1028"/>
      <c r="K10" s="1028"/>
      <c r="IQ10" s="13">
        <f>IF(Data!D87="","",Data!D87)</f>
        <v>0</v>
      </c>
    </row>
    <row r="11" spans="1:251" ht="12.75">
      <c r="A11" s="1029" t="s">
        <v>100</v>
      </c>
      <c r="B11" s="1028"/>
      <c r="C11" s="1028"/>
      <c r="D11" s="1028"/>
      <c r="E11" s="1028"/>
      <c r="F11" s="1028"/>
      <c r="G11" s="1028"/>
      <c r="H11" s="1028"/>
      <c r="I11" s="1028"/>
      <c r="J11" s="1028"/>
      <c r="K11" s="1028"/>
      <c r="IQ11" s="13">
        <f>IF(Data!D88="","",Data!D88)</f>
        <v>0</v>
      </c>
    </row>
    <row r="12" spans="1:251" ht="12.75">
      <c r="A12" s="1029" t="s">
        <v>101</v>
      </c>
      <c r="B12" s="1028"/>
      <c r="C12" s="1028"/>
      <c r="D12" s="1028"/>
      <c r="E12" s="1028"/>
      <c r="F12" s="1028"/>
      <c r="G12" s="1028"/>
      <c r="H12" s="1028"/>
      <c r="I12" s="1028"/>
      <c r="J12" s="1028"/>
      <c r="K12" s="1028"/>
      <c r="IQ12" s="13">
        <f>IF(Data!D89="","",Data!D89)</f>
        <v>0</v>
      </c>
    </row>
    <row r="13" spans="1:251" ht="12.75">
      <c r="A13" s="1032" t="s">
        <v>1128</v>
      </c>
      <c r="B13" s="1028"/>
      <c r="C13" s="1028"/>
      <c r="D13" s="1028"/>
      <c r="E13" s="1028"/>
      <c r="F13" s="1028"/>
      <c r="G13" s="1028"/>
      <c r="H13" s="1028"/>
      <c r="I13" s="1028"/>
      <c r="J13" s="1028"/>
      <c r="K13" s="1028"/>
      <c r="IQ13" s="13">
        <f>IF(Data!D90="","",Data!D90)</f>
        <v>0</v>
      </c>
    </row>
    <row r="14" spans="1:251" ht="19.5" customHeight="1">
      <c r="A14" s="461" t="s">
        <v>954</v>
      </c>
      <c r="B14" s="462">
        <f>IF(Input!$B$7="","",Input!$B$7)</f>
      </c>
      <c r="C14" s="463"/>
      <c r="D14" s="1023" t="s">
        <v>106</v>
      </c>
      <c r="E14" s="465">
        <v>1</v>
      </c>
      <c r="F14" s="466">
        <f>IF(Input!$C$64="","",Input!$C$64)</f>
      </c>
      <c r="G14" s="465">
        <v>5</v>
      </c>
      <c r="H14" s="466">
        <f>IF(Input!$E$64="","",Input!$E$64)</f>
      </c>
      <c r="I14" s="467" t="s">
        <v>559</v>
      </c>
      <c r="J14" s="571"/>
      <c r="K14" s="468"/>
      <c r="IQ14" s="13">
        <f>IF(Data!D91="","",Data!D91)</f>
        <v>0</v>
      </c>
    </row>
    <row r="15" spans="1:251" ht="19.5" customHeight="1">
      <c r="A15" s="461" t="s">
        <v>102</v>
      </c>
      <c r="B15" s="462">
        <f>IF(Input!$B$8="","",Input!$B$8)</f>
      </c>
      <c r="C15" s="463"/>
      <c r="D15" s="1024"/>
      <c r="E15" s="465">
        <v>2</v>
      </c>
      <c r="F15" s="466">
        <f>IF(Input!$C$65="","",Input!$C$65)</f>
      </c>
      <c r="G15" s="465">
        <v>6</v>
      </c>
      <c r="H15" s="466">
        <f>IF(Input!$E$65="","",Input!$E$65)</f>
      </c>
      <c r="I15" s="470" t="s">
        <v>50</v>
      </c>
      <c r="J15" s="471">
        <f ca="1">TODAY()</f>
        <v>42480</v>
      </c>
      <c r="K15" s="468"/>
      <c r="IQ15" s="13">
        <f>IF(Data!D92="","",Data!D92)</f>
        <v>0</v>
      </c>
    </row>
    <row r="16" spans="1:251" ht="19.5" customHeight="1">
      <c r="A16" s="461" t="s">
        <v>983</v>
      </c>
      <c r="B16" s="462">
        <f>IF(Input!$B$10="","",Input!$B$10)</f>
      </c>
      <c r="C16" s="463"/>
      <c r="D16" s="1024"/>
      <c r="E16" s="465">
        <v>3</v>
      </c>
      <c r="F16" s="466">
        <f>IF(Input!$C$66="","",Input!$C$66)</f>
      </c>
      <c r="G16" s="465">
        <v>7</v>
      </c>
      <c r="H16" s="466">
        <f>IF(Input!$E$66="","",Input!$E$66)</f>
      </c>
      <c r="I16" s="461" t="s">
        <v>976</v>
      </c>
      <c r="J16" s="472">
        <f>IF(Input!$B$30="","",Input!$B$30)</f>
      </c>
      <c r="K16" s="473"/>
      <c r="IQ16" s="13">
        <f>IF(Data!D93="","",Data!D93)</f>
        <v>0</v>
      </c>
    </row>
    <row r="17" spans="1:251" ht="19.5" customHeight="1">
      <c r="A17" s="461" t="s">
        <v>955</v>
      </c>
      <c r="B17" s="462">
        <f>IF(Input!$E$5="","",Input!$E$5)</f>
      </c>
      <c r="C17" s="463"/>
      <c r="D17" s="1025"/>
      <c r="E17" s="465">
        <v>4</v>
      </c>
      <c r="F17" s="466">
        <f>IF(Input!$C$67="","",Input!$C$67)</f>
      </c>
      <c r="G17" s="465">
        <v>8</v>
      </c>
      <c r="H17" s="466">
        <f>IF(Input!$E$67="","",Input!$E$67)</f>
      </c>
      <c r="I17" s="461" t="s">
        <v>977</v>
      </c>
      <c r="J17" s="472">
        <f>IF(Input!$B$31="","",Input!$B$31)</f>
      </c>
      <c r="K17" s="473"/>
      <c r="IQ17" s="13">
        <f>IF(Data!D94="","",Data!D94)</f>
        <v>0</v>
      </c>
    </row>
    <row r="18" spans="1:251" ht="19.5" customHeight="1">
      <c r="A18" s="475" t="s">
        <v>49</v>
      </c>
      <c r="B18" s="462">
        <f>IF(Input!$E$6="","",Input!$E$6)</f>
      </c>
      <c r="C18" s="463"/>
      <c r="D18" s="461" t="s">
        <v>1253</v>
      </c>
      <c r="E18" s="476">
        <f>IF(Input!$B$68="","",Input!$B$68)</f>
      </c>
      <c r="F18" s="477"/>
      <c r="G18" s="477"/>
      <c r="H18" s="477"/>
      <c r="I18" s="461" t="s">
        <v>972</v>
      </c>
      <c r="J18" s="472">
        <f>IF(Input!$B$32="","",Input!$B$32)</f>
      </c>
      <c r="K18" s="473"/>
      <c r="IQ18" s="13">
        <f>IF(Data!D95="","",Data!D95)</f>
        <v>0</v>
      </c>
    </row>
    <row r="19" spans="1:251" ht="19.5" customHeight="1">
      <c r="A19" s="475" t="s">
        <v>105</v>
      </c>
      <c r="B19" s="462">
        <f>IF(Input!$E$7="","",Input!$E$7)</f>
      </c>
      <c r="C19" s="463"/>
      <c r="D19" s="461" t="s">
        <v>968</v>
      </c>
      <c r="E19" s="476">
        <f>IF('Setup Bm Input'!$A$46="","",'Setup Bm Input'!$A$46)</f>
      </c>
      <c r="F19" s="477"/>
      <c r="G19" s="477"/>
      <c r="H19" s="477"/>
      <c r="I19" s="461" t="s">
        <v>978</v>
      </c>
      <c r="J19" s="472">
        <f>IF(Input!$B$33="","",Input!$B$33)</f>
      </c>
      <c r="K19" s="473"/>
      <c r="IQ19" s="13">
        <f>IF(Data!D96="","",Data!D96)</f>
        <v>0</v>
      </c>
    </row>
    <row r="20" spans="1:251" ht="19.5" customHeight="1">
      <c r="A20" s="475" t="s">
        <v>48</v>
      </c>
      <c r="B20" s="462">
        <f>IF(Input!$E$8="","",Input!$E$8)</f>
      </c>
      <c r="C20" s="463"/>
      <c r="D20" s="482"/>
      <c r="E20" s="616"/>
      <c r="F20" s="477"/>
      <c r="G20" s="477"/>
      <c r="H20" s="477"/>
      <c r="I20" s="461" t="s">
        <v>975</v>
      </c>
      <c r="J20" s="472">
        <f>IF(Input!$B$34="","",Input!$B$34)</f>
      </c>
      <c r="K20" s="473"/>
      <c r="IQ20" s="13">
        <f>IF(Data!D97="","",Data!D97)</f>
        <v>0</v>
      </c>
    </row>
    <row r="21" spans="1:251" ht="19.5" customHeight="1">
      <c r="A21" s="461" t="s">
        <v>981</v>
      </c>
      <c r="B21" s="462">
        <f>IF(Input!$B$37="","",Input!$B$37)</f>
      </c>
      <c r="C21" s="463"/>
      <c r="D21" s="482"/>
      <c r="E21" s="616"/>
      <c r="F21" s="477"/>
      <c r="G21" s="477"/>
      <c r="H21" s="477"/>
      <c r="I21" s="461" t="s">
        <v>979</v>
      </c>
      <c r="J21" s="472">
        <f>IF(Input!$B$35="","",Input!$B$35)</f>
      </c>
      <c r="K21" s="473"/>
      <c r="IQ21" s="13">
        <f>IF(Data!D98="","",Data!D98)</f>
        <v>0</v>
      </c>
    </row>
    <row r="22" spans="1:251" ht="19.5" customHeight="1">
      <c r="A22" s="461" t="s">
        <v>97</v>
      </c>
      <c r="B22" s="538"/>
      <c r="C22" s="539"/>
      <c r="D22" s="482"/>
      <c r="E22" s="616"/>
      <c r="F22" s="477"/>
      <c r="G22" s="477"/>
      <c r="H22" s="477"/>
      <c r="I22" s="461" t="s">
        <v>980</v>
      </c>
      <c r="J22" s="472">
        <f>IF(Input!$B$36="","",Input!$B$36)</f>
      </c>
      <c r="K22" s="473"/>
      <c r="IQ22" s="13">
        <f>IF(Data!D99="","",Data!D99)</f>
        <v>0</v>
      </c>
    </row>
    <row r="23" spans="1:251" ht="19.5" customHeight="1">
      <c r="A23" s="461" t="s">
        <v>103</v>
      </c>
      <c r="B23" s="462">
        <f>IF(Input!$B$9="","",Input!$B$9)</f>
      </c>
      <c r="C23" s="463"/>
      <c r="D23" s="482"/>
      <c r="E23" s="616"/>
      <c r="F23" s="477"/>
      <c r="G23" s="477"/>
      <c r="H23" s="477"/>
      <c r="I23" s="478"/>
      <c r="J23" s="479"/>
      <c r="K23" s="480"/>
      <c r="IQ23" s="13">
        <f>IF(Data!D100="","",Data!D100)</f>
        <v>0</v>
      </c>
    </row>
    <row r="24" spans="1:251" ht="19.5" customHeight="1">
      <c r="A24" s="461" t="s">
        <v>104</v>
      </c>
      <c r="B24" s="481">
        <f>'Setup Bm Input'!$B$34</f>
      </c>
      <c r="C24" s="463">
        <f>IF(Input!$B$6="","",IF(Input!$B$6="E","in.",IF(Input!$B$6="M","mm")))</f>
      </c>
      <c r="D24" s="482"/>
      <c r="E24" s="616"/>
      <c r="F24" s="477"/>
      <c r="G24" s="477"/>
      <c r="H24" s="477"/>
      <c r="I24" s="482"/>
      <c r="J24" s="483"/>
      <c r="K24" s="480"/>
      <c r="IQ24" s="13">
        <f>IF(Data!D101="","",Data!D101)</f>
        <v>0</v>
      </c>
    </row>
    <row r="25" spans="1:251" ht="19.5" customHeight="1">
      <c r="A25" s="554"/>
      <c r="B25" s="555"/>
      <c r="C25" s="555"/>
      <c r="D25" s="482"/>
      <c r="E25" s="616"/>
      <c r="F25" s="477"/>
      <c r="G25" s="477"/>
      <c r="H25" s="477"/>
      <c r="I25" s="482"/>
      <c r="J25" s="483"/>
      <c r="K25" s="480"/>
      <c r="IQ25" s="13">
        <f>IF(Data!D102="","",Data!D102)</f>
        <v>0</v>
      </c>
    </row>
    <row r="26" spans="1:251" ht="19.5" customHeight="1">
      <c r="A26" s="482"/>
      <c r="B26" s="615"/>
      <c r="C26" s="615"/>
      <c r="D26" s="482"/>
      <c r="E26" s="616"/>
      <c r="F26" s="477"/>
      <c r="G26" s="477"/>
      <c r="H26" s="477"/>
      <c r="I26" s="482"/>
      <c r="J26" s="483"/>
      <c r="K26" s="480"/>
      <c r="IQ26" s="13"/>
    </row>
    <row r="27" spans="1:251" ht="12.75">
      <c r="A27" s="1033" t="s">
        <v>107</v>
      </c>
      <c r="B27" s="1034"/>
      <c r="C27" s="1034"/>
      <c r="D27" s="1034"/>
      <c r="E27" s="1034"/>
      <c r="F27" s="1034"/>
      <c r="G27" s="1034"/>
      <c r="H27" s="1034"/>
      <c r="I27" s="1034"/>
      <c r="J27" s="1034"/>
      <c r="K27" s="1034"/>
      <c r="IQ27" s="13">
        <f>IF(Data!D103="","",Data!D103)</f>
        <v>0</v>
      </c>
    </row>
    <row r="28" spans="1:251" ht="15.75">
      <c r="A28" s="459" t="s">
        <v>1035</v>
      </c>
      <c r="B28" s="458"/>
      <c r="C28" s="458"/>
      <c r="D28" s="458"/>
      <c r="E28" s="468"/>
      <c r="F28" s="459" t="s">
        <v>1093</v>
      </c>
      <c r="G28" s="468"/>
      <c r="H28" s="459"/>
      <c r="I28" s="468"/>
      <c r="J28" s="592"/>
      <c r="K28" s="592"/>
      <c r="IQ28" s="13"/>
    </row>
    <row r="29" spans="1:251" ht="15.75">
      <c r="A29" s="459" t="s">
        <v>781</v>
      </c>
      <c r="B29" s="458"/>
      <c r="C29" s="468"/>
      <c r="D29" s="468"/>
      <c r="E29" s="468"/>
      <c r="F29" s="459" t="s">
        <v>783</v>
      </c>
      <c r="G29" s="468"/>
      <c r="H29" s="459"/>
      <c r="I29" s="458"/>
      <c r="J29" s="592"/>
      <c r="K29" s="592"/>
      <c r="IQ29" s="13"/>
    </row>
    <row r="30" spans="1:251" ht="15.75">
      <c r="A30" s="493" t="s">
        <v>1069</v>
      </c>
      <c r="B30" s="458"/>
      <c r="C30" s="458"/>
      <c r="D30" s="468"/>
      <c r="E30" s="468"/>
      <c r="F30" s="459" t="s">
        <v>1094</v>
      </c>
      <c r="G30" s="468"/>
      <c r="H30" s="459"/>
      <c r="I30" s="458"/>
      <c r="J30" s="592"/>
      <c r="K30" s="592"/>
      <c r="IQ30" s="13"/>
    </row>
    <row r="31" spans="1:251" ht="15.75">
      <c r="A31" s="493" t="s">
        <v>800</v>
      </c>
      <c r="B31" s="459"/>
      <c r="C31" s="468"/>
      <c r="D31" s="468"/>
      <c r="E31" s="468"/>
      <c r="F31" s="65" t="s">
        <v>808</v>
      </c>
      <c r="G31" s="468"/>
      <c r="H31" s="459"/>
      <c r="I31" s="458"/>
      <c r="J31" s="592"/>
      <c r="K31" s="592"/>
      <c r="IQ31" s="13"/>
    </row>
    <row r="32" spans="1:251" ht="15.75">
      <c r="A32" s="459" t="s">
        <v>1038</v>
      </c>
      <c r="B32" s="459"/>
      <c r="C32" s="468"/>
      <c r="D32" s="468"/>
      <c r="E32" s="468"/>
      <c r="F32" s="65" t="s">
        <v>809</v>
      </c>
      <c r="G32" s="468"/>
      <c r="H32" s="459"/>
      <c r="I32" s="592"/>
      <c r="J32" s="592"/>
      <c r="K32" s="592"/>
      <c r="IQ32" s="13"/>
    </row>
    <row r="33" spans="1:251" ht="15.75">
      <c r="A33" s="459" t="s">
        <v>1040</v>
      </c>
      <c r="B33" s="458"/>
      <c r="C33" s="468"/>
      <c r="D33" s="468"/>
      <c r="E33" s="468"/>
      <c r="F33" s="65" t="s">
        <v>810</v>
      </c>
      <c r="G33" s="468"/>
      <c r="H33" s="459"/>
      <c r="I33" s="592"/>
      <c r="J33" s="592"/>
      <c r="K33" s="592"/>
      <c r="IQ33" s="13"/>
    </row>
    <row r="34" spans="1:251" ht="15.75">
      <c r="A34" s="459" t="s">
        <v>1039</v>
      </c>
      <c r="B34" s="459"/>
      <c r="C34" s="458"/>
      <c r="D34" s="468"/>
      <c r="E34" s="468"/>
      <c r="F34" s="459" t="s">
        <v>1077</v>
      </c>
      <c r="G34" s="468"/>
      <c r="H34" s="459"/>
      <c r="I34" s="592"/>
      <c r="J34" s="592"/>
      <c r="K34" s="592"/>
      <c r="IQ34" s="13"/>
    </row>
    <row r="35" spans="1:251" ht="15.75">
      <c r="A35" s="459" t="s">
        <v>807</v>
      </c>
      <c r="B35" s="459"/>
      <c r="C35" s="458"/>
      <c r="D35" s="468"/>
      <c r="E35" s="468"/>
      <c r="F35" s="459" t="s">
        <v>1172</v>
      </c>
      <c r="G35" s="468"/>
      <c r="H35" s="459"/>
      <c r="I35" s="592"/>
      <c r="J35" s="592"/>
      <c r="K35" s="592"/>
      <c r="IQ35" s="13"/>
    </row>
    <row r="36" spans="1:251" ht="15.75">
      <c r="A36" s="459" t="s">
        <v>788</v>
      </c>
      <c r="B36" s="459"/>
      <c r="C36" s="458"/>
      <c r="D36" s="468"/>
      <c r="E36" s="468"/>
      <c r="F36" s="459" t="s">
        <v>1155</v>
      </c>
      <c r="G36" s="468"/>
      <c r="H36" s="459"/>
      <c r="I36" s="592"/>
      <c r="J36" s="592"/>
      <c r="K36" s="592"/>
      <c r="IQ36" s="13"/>
    </row>
    <row r="37" spans="1:251" ht="15.75">
      <c r="A37" s="459" t="s">
        <v>1066</v>
      </c>
      <c r="B37" s="459"/>
      <c r="C37" s="458"/>
      <c r="D37" s="468"/>
      <c r="E37" s="468"/>
      <c r="F37" s="459" t="s">
        <v>1157</v>
      </c>
      <c r="G37" s="468"/>
      <c r="H37" s="459"/>
      <c r="I37" s="592"/>
      <c r="J37" s="592"/>
      <c r="K37" s="592"/>
      <c r="IQ37" s="13"/>
    </row>
    <row r="38" spans="1:251" ht="15.75">
      <c r="A38" s="459"/>
      <c r="B38" s="459"/>
      <c r="C38" s="458"/>
      <c r="D38" s="468"/>
      <c r="E38" s="468"/>
      <c r="F38" s="459" t="s">
        <v>768</v>
      </c>
      <c r="G38" s="468"/>
      <c r="H38" s="459"/>
      <c r="I38" s="592"/>
      <c r="J38" s="592"/>
      <c r="K38" s="592"/>
      <c r="IQ38" s="13"/>
    </row>
    <row r="39" spans="1:251" ht="12.75">
      <c r="A39" s="458"/>
      <c r="B39" s="458"/>
      <c r="C39" s="468"/>
      <c r="D39" s="468"/>
      <c r="E39" s="468"/>
      <c r="F39" s="459"/>
      <c r="G39" s="468"/>
      <c r="H39" s="459"/>
      <c r="I39" s="592"/>
      <c r="J39" s="592"/>
      <c r="K39" s="592"/>
      <c r="IQ39" s="13"/>
    </row>
    <row r="40" spans="1:251" ht="12.75">
      <c r="A40" s="458" t="s">
        <v>55</v>
      </c>
      <c r="B40" s="458"/>
      <c r="C40" s="458"/>
      <c r="D40" s="468"/>
      <c r="E40" s="458"/>
      <c r="F40" s="458"/>
      <c r="G40" s="459"/>
      <c r="H40" s="458"/>
      <c r="I40" s="459"/>
      <c r="J40" s="468"/>
      <c r="K40" s="592"/>
      <c r="IQ40" s="13"/>
    </row>
    <row r="41" spans="1:251" ht="12.75">
      <c r="A41" s="458"/>
      <c r="B41" s="458"/>
      <c r="C41" s="458"/>
      <c r="D41" s="458"/>
      <c r="E41" s="458"/>
      <c r="F41" s="458"/>
      <c r="G41" s="458"/>
      <c r="H41" s="458"/>
      <c r="I41" s="458"/>
      <c r="J41" s="458"/>
      <c r="K41" s="458"/>
      <c r="IQ41" s="13">
        <f>IF(Data!D110="","",Data!D110)</f>
        <v>0</v>
      </c>
    </row>
    <row r="42" spans="1:11" ht="12.75">
      <c r="A42" s="1033" t="s">
        <v>1129</v>
      </c>
      <c r="B42" s="1034"/>
      <c r="C42" s="1034"/>
      <c r="D42" s="1034"/>
      <c r="E42" s="1034"/>
      <c r="F42" s="1034"/>
      <c r="G42" s="1034"/>
      <c r="H42" s="1034"/>
      <c r="I42" s="1034"/>
      <c r="J42" s="1034"/>
      <c r="K42" s="1034"/>
    </row>
    <row r="43" spans="1:11" ht="12.75">
      <c r="A43" s="458"/>
      <c r="B43" s="514"/>
      <c r="C43" s="514"/>
      <c r="D43" s="514">
        <f>IF(C2="","",C2)</f>
      </c>
      <c r="E43" s="514">
        <f>IF(D2="","",D2)</f>
      </c>
      <c r="F43" s="514"/>
      <c r="G43" s="514"/>
      <c r="H43" s="514"/>
      <c r="I43" s="532"/>
      <c r="J43" s="458"/>
      <c r="K43" s="458"/>
    </row>
    <row r="44" spans="1:11" ht="15.75">
      <c r="A44" s="459" t="s">
        <v>1017</v>
      </c>
      <c r="B44" s="458"/>
      <c r="C44" s="320" t="s">
        <v>1033</v>
      </c>
      <c r="D44" s="65" t="s">
        <v>1034</v>
      </c>
      <c r="E44" s="532">
        <f>IF(Input!$B$6="","",IF(Input!$B$6="E","lbs.",IF(Input!$B$6="M","N")))</f>
      </c>
      <c r="F44" s="559" t="s">
        <v>1130</v>
      </c>
      <c r="G44" s="458"/>
      <c r="H44" s="320" t="s">
        <v>1131</v>
      </c>
      <c r="I44" s="65" t="s">
        <v>1132</v>
      </c>
      <c r="J44" s="532">
        <f>IF(Input!$B$6="","",IF(Input!$B$6="E","lbs.",IF(Input!$B$6="M","N")))</f>
      </c>
      <c r="K44" s="458"/>
    </row>
    <row r="45" spans="1:11" ht="15.75">
      <c r="A45" s="459" t="s">
        <v>774</v>
      </c>
      <c r="B45" s="458"/>
      <c r="C45" s="320" t="s">
        <v>1047</v>
      </c>
      <c r="D45" s="65" t="s">
        <v>1048</v>
      </c>
      <c r="E45" s="532">
        <f>IF(Input!$B$6="","",IF(Input!$B$6="E","lbs.",IF(Input!$B$6="M","N")))</f>
      </c>
      <c r="F45" s="320" t="s">
        <v>1133</v>
      </c>
      <c r="G45" s="458"/>
      <c r="H45" s="458"/>
      <c r="I45" s="658" t="s">
        <v>1134</v>
      </c>
      <c r="J45" s="458"/>
      <c r="K45" s="458"/>
    </row>
    <row r="46" spans="1:11" ht="15.75">
      <c r="A46" s="459" t="s">
        <v>96</v>
      </c>
      <c r="B46" s="458"/>
      <c r="C46" s="320" t="s">
        <v>1072</v>
      </c>
      <c r="D46" s="65" t="s">
        <v>1073</v>
      </c>
      <c r="E46" s="532">
        <f>IF(Input!$B$6="","",IF(Input!$B$6="E","lbs.",IF(Input!$B$6="M","N")))</f>
      </c>
      <c r="F46" s="458"/>
      <c r="G46" s="514"/>
      <c r="H46" s="514"/>
      <c r="I46" s="532"/>
      <c r="J46" s="458"/>
      <c r="K46" s="458"/>
    </row>
    <row r="47" spans="1:11" ht="12.75">
      <c r="A47" s="458"/>
      <c r="B47" s="458"/>
      <c r="C47" s="458"/>
      <c r="D47" s="458"/>
      <c r="E47" s="458"/>
      <c r="F47" s="458"/>
      <c r="G47" s="514"/>
      <c r="H47" s="514"/>
      <c r="I47" s="532"/>
      <c r="J47" s="458"/>
      <c r="K47" s="458"/>
    </row>
    <row r="48" spans="1:11" ht="14.25">
      <c r="A48" s="617"/>
      <c r="B48" s="458"/>
      <c r="C48" s="458"/>
      <c r="D48" s="524" t="s">
        <v>1027</v>
      </c>
      <c r="E48" s="524" t="s">
        <v>1065</v>
      </c>
      <c r="F48" s="524" t="s">
        <v>1076</v>
      </c>
      <c r="G48" s="524" t="s">
        <v>1135</v>
      </c>
      <c r="H48" s="598" t="s">
        <v>1136</v>
      </c>
      <c r="I48" s="524" t="s">
        <v>1137</v>
      </c>
      <c r="J48" s="458"/>
      <c r="K48" s="458"/>
    </row>
    <row r="49" spans="1:11" ht="15.75">
      <c r="A49" s="561"/>
      <c r="B49" s="565" t="s">
        <v>112</v>
      </c>
      <c r="C49" s="525" t="s">
        <v>114</v>
      </c>
      <c r="D49" s="525">
        <f>IF(Input!$B$6="","",IF(Input!$B$6="E","(lbs.)",IF(Input!$B$6="M","(N)")))</f>
      </c>
      <c r="E49" s="525">
        <f>IF(Input!$B$6="","",IF(Input!$B$6="E","(lbs.)",IF(Input!$B$6="M","(N)")))</f>
      </c>
      <c r="F49" s="525">
        <f>IF(Input!$B$6="","",IF(Input!$B$6="E","(lbs.)",IF(Input!$B$6="M","(N)")))</f>
      </c>
      <c r="G49" s="525">
        <f>IF(Input!$B$6="","",IF(Input!$B$6="E","(lbs.)",IF(Input!$B$6="M","(N)")))</f>
      </c>
      <c r="H49" s="525">
        <f>IF(Input!$B$6="","",IF(Input!$B$6="E","(lbs.)",IF(Input!$B$6="M","(N)")))</f>
      </c>
      <c r="I49" s="525">
        <f>IF(Input!$B$6="","",IF(Input!$B$6="E","(lbs.)",IF(Input!$B$6="M","(N)")))</f>
      </c>
      <c r="J49" s="458"/>
      <c r="K49" s="458"/>
    </row>
    <row r="50" spans="1:11" ht="12.75">
      <c r="A50" s="458"/>
      <c r="B50" s="525" t="s">
        <v>90</v>
      </c>
      <c r="C50" s="558">
        <f>IF('Setup Bm Input'!B63="","",'Setup Bm Input'!B63)</f>
      </c>
      <c r="D50" s="606">
        <f>IF('Setup Bm Input'!D63="","",IF('Anch Move'!H56="",0,'Anch Move'!H56))</f>
      </c>
      <c r="E50" s="606">
        <f>IF('Setup Bm Input'!D63="","",IF('Self Stress'!H56="",0,'Self Stress'!H56))</f>
      </c>
      <c r="F50" s="569">
        <f>IF('Setup Bm Input'!D63="","",IF(Thermal!G69="",0,Thermal!G69))</f>
      </c>
      <c r="G50" s="569">
        <f>IF('Setup Bm Input'!D63="","",IF('Setup Bm Input'!$F$26="",0,IF(Input!$B$6="E",'Setup Bm Input'!E63*'Setup Bm Input'!D63*'Setup Bm Input'!$F$26/'Setup Bm Input'!$B$34,'Setup Bm Input'!E63*'Setup Bm Input'!D63*'Setup Bm Input'!$F$26/'Setup Bm Input'!$B$34/1000)))</f>
      </c>
      <c r="H50" s="569">
        <f>IF('Setup Bm Input'!D63="","",IF('Setup Bm Input'!$F$37="",0,'Setup Bm Input'!$F$37))</f>
      </c>
      <c r="I50" s="569">
        <f>IF('Setup Bm Input'!D63="","",D50+E50+F50+G50+H50)</f>
      </c>
      <c r="J50" s="458"/>
      <c r="K50" s="458"/>
    </row>
    <row r="51" spans="1:11" ht="12.75">
      <c r="A51" s="458"/>
      <c r="B51" s="525" t="s">
        <v>91</v>
      </c>
      <c r="C51" s="558">
        <f>IF('Setup Bm Input'!B64="","",'Setup Bm Input'!B64)</f>
      </c>
      <c r="D51" s="606">
        <f>IF('Setup Bm Input'!D64="","",IF('Anch Move'!H57="",0,'Anch Move'!H57))</f>
      </c>
      <c r="E51" s="606">
        <f>IF('Setup Bm Input'!D64="","",IF('Self Stress'!H57="",0,'Self Stress'!H57))</f>
      </c>
      <c r="F51" s="569">
        <f>IF('Setup Bm Input'!D64="","",IF(Thermal!G70="",0,Thermal!G70))</f>
      </c>
      <c r="G51" s="569">
        <f>IF('Setup Bm Input'!D64="","",IF('Setup Bm Input'!$F$26="",0,IF(Input!$B$6="E",'Setup Bm Input'!E64*'Setup Bm Input'!D64*'Setup Bm Input'!$F$26/'Setup Bm Input'!$B$34,'Setup Bm Input'!E64*'Setup Bm Input'!D64*'Setup Bm Input'!$F$26/'Setup Bm Input'!$B$34/1000)))</f>
      </c>
      <c r="H51" s="569">
        <f>IF('Setup Bm Input'!D64="","",IF('Setup Bm Input'!$F$37="",0,'Setup Bm Input'!$F$37))</f>
      </c>
      <c r="I51" s="569">
        <f>IF('Setup Bm Input'!D64="","",D51+E51+F51+G51+H51)</f>
      </c>
      <c r="J51" s="458"/>
      <c r="K51" s="458"/>
    </row>
    <row r="52" spans="1:11" ht="12.75">
      <c r="A52" s="458"/>
      <c r="B52" s="525" t="s">
        <v>92</v>
      </c>
      <c r="C52" s="558">
        <f>IF('Setup Bm Input'!B65="","",'Setup Bm Input'!B65)</f>
      </c>
      <c r="D52" s="606">
        <f>IF('Setup Bm Input'!D65="","",IF('Anch Move'!H58="",0,'Anch Move'!H58))</f>
      </c>
      <c r="E52" s="606">
        <f>IF('Setup Bm Input'!D65="","",IF('Self Stress'!H58="",0,'Self Stress'!H58))</f>
      </c>
      <c r="F52" s="569">
        <f>IF('Setup Bm Input'!D65="","",IF(Thermal!G71="",0,Thermal!G71))</f>
      </c>
      <c r="G52" s="569">
        <f>IF('Setup Bm Input'!D65="","",IF('Setup Bm Input'!$F$26="",0,IF(Input!$B$6="E",'Setup Bm Input'!E65*'Setup Bm Input'!D65*'Setup Bm Input'!$F$26/'Setup Bm Input'!$B$34,'Setup Bm Input'!E65*'Setup Bm Input'!D65*'Setup Bm Input'!$F$26/'Setup Bm Input'!$B$34/1000)))</f>
      </c>
      <c r="H52" s="569">
        <f>IF('Setup Bm Input'!D65="","",IF('Setup Bm Input'!$F$37="",0,'Setup Bm Input'!$F$37))</f>
      </c>
      <c r="I52" s="569">
        <f>IF('Setup Bm Input'!D65="","",D52+E52+F52+G52+H52)</f>
      </c>
      <c r="J52" s="458"/>
      <c r="K52" s="458"/>
    </row>
    <row r="53" spans="1:11" ht="12.75">
      <c r="A53" s="458"/>
      <c r="B53" s="525" t="s">
        <v>93</v>
      </c>
      <c r="C53" s="558">
        <f>IF('Setup Bm Input'!B66="","",'Setup Bm Input'!B66)</f>
      </c>
      <c r="D53" s="606">
        <f>IF('Setup Bm Input'!D66="","",IF('Anch Move'!H59="",0,'Anch Move'!H59))</f>
      </c>
      <c r="E53" s="606">
        <f>IF('Setup Bm Input'!D66="","",IF('Self Stress'!H59="",0,'Self Stress'!H59))</f>
      </c>
      <c r="F53" s="569">
        <f>IF('Setup Bm Input'!D66="","",IF(Thermal!G72="",0,Thermal!G72))</f>
      </c>
      <c r="G53" s="569">
        <f>IF('Setup Bm Input'!D66="","",IF('Setup Bm Input'!$F$26="",0,IF(Input!$B$6="E",'Setup Bm Input'!E66*'Setup Bm Input'!D66*'Setup Bm Input'!$F$26/'Setup Bm Input'!$B$34,'Setup Bm Input'!E66*'Setup Bm Input'!D66*'Setup Bm Input'!$F$26/'Setup Bm Input'!$B$34/1000)))</f>
      </c>
      <c r="H53" s="569">
        <f>IF('Setup Bm Input'!D66="","",IF('Setup Bm Input'!$F$37="",0,'Setup Bm Input'!$F$37))</f>
      </c>
      <c r="I53" s="569">
        <f>IF('Setup Bm Input'!D66="","",D53+E53+F53+G53+H53)</f>
      </c>
      <c r="J53" s="458"/>
      <c r="K53" s="458"/>
    </row>
    <row r="54" spans="1:11" ht="12.75">
      <c r="A54" s="458"/>
      <c r="B54" s="458"/>
      <c r="C54" s="458"/>
      <c r="D54" s="458"/>
      <c r="E54" s="458"/>
      <c r="F54" s="458"/>
      <c r="G54" s="458"/>
      <c r="H54" s="458"/>
      <c r="I54" s="458"/>
      <c r="J54" s="458"/>
      <c r="K54" s="458"/>
    </row>
    <row r="55" spans="1:11" ht="12.75">
      <c r="A55" s="1033" t="s">
        <v>1138</v>
      </c>
      <c r="B55" s="1034"/>
      <c r="C55" s="1034"/>
      <c r="D55" s="1034"/>
      <c r="E55" s="1034"/>
      <c r="F55" s="1034"/>
      <c r="G55" s="1034"/>
      <c r="H55" s="1034"/>
      <c r="I55" s="1034"/>
      <c r="J55" s="1034"/>
      <c r="K55" s="1034"/>
    </row>
    <row r="56" spans="1:11" ht="12.75">
      <c r="A56" s="458"/>
      <c r="B56" s="458"/>
      <c r="C56" s="458"/>
      <c r="D56" s="458"/>
      <c r="E56" s="458"/>
      <c r="F56" s="458"/>
      <c r="G56" s="458"/>
      <c r="H56" s="458"/>
      <c r="I56" s="458"/>
      <c r="J56" s="458"/>
      <c r="K56" s="458"/>
    </row>
    <row r="57" spans="1:11" ht="12.75">
      <c r="A57" s="458"/>
      <c r="B57" s="458"/>
      <c r="C57" s="458"/>
      <c r="D57" s="458"/>
      <c r="E57" s="458"/>
      <c r="F57" s="458"/>
      <c r="G57" s="458"/>
      <c r="H57" s="458"/>
      <c r="I57" s="458"/>
      <c r="J57" s="458"/>
      <c r="K57" s="458"/>
    </row>
    <row r="58" spans="1:29" ht="13.5" customHeight="1">
      <c r="A58" s="458"/>
      <c r="B58" s="559" t="s">
        <v>1156</v>
      </c>
      <c r="C58" s="459" t="s">
        <v>762</v>
      </c>
      <c r="D58" s="459"/>
      <c r="E58" s="532">
        <f>IF(Input!$B$6="","",IF(Input!$B$6="E","lbs.",IF(Input!$B$6="M","N")))</f>
      </c>
      <c r="F58" s="559" t="s">
        <v>1164</v>
      </c>
      <c r="G58" s="576" t="s">
        <v>895</v>
      </c>
      <c r="H58" s="532">
        <f>IF(Input!$B$6="","",IF(Input!$B$6="E","Deg. F",IF(Input!$B$6="M","Deg. C")))</f>
      </c>
      <c r="I58" s="458"/>
      <c r="J58" s="458"/>
      <c r="K58" s="458"/>
      <c r="N58" s="2"/>
      <c r="O58" s="5"/>
      <c r="P58" s="5"/>
      <c r="Q58" s="5"/>
      <c r="R58" s="147"/>
      <c r="S58" s="5"/>
      <c r="T58" s="5"/>
      <c r="U58" s="2"/>
      <c r="V58" s="2"/>
      <c r="W58" s="5"/>
      <c r="X58" s="5"/>
      <c r="Y58" s="5"/>
      <c r="Z58" s="147"/>
      <c r="AA58" s="5"/>
      <c r="AB58" s="5"/>
      <c r="AC58" s="2"/>
    </row>
    <row r="59" spans="1:29" ht="12.75">
      <c r="A59" s="458"/>
      <c r="B59" s="458"/>
      <c r="C59" s="458"/>
      <c r="D59" s="458"/>
      <c r="E59" s="458"/>
      <c r="F59" s="458"/>
      <c r="G59" s="458"/>
      <c r="H59" s="458"/>
      <c r="I59" s="458"/>
      <c r="J59" s="458"/>
      <c r="K59" s="458"/>
      <c r="N59" s="2"/>
      <c r="O59" s="5"/>
      <c r="P59" s="5"/>
      <c r="Q59" s="5"/>
      <c r="R59" s="147"/>
      <c r="S59" s="5"/>
      <c r="T59" s="5"/>
      <c r="U59" s="2"/>
      <c r="V59" s="2"/>
      <c r="W59" s="5"/>
      <c r="X59" s="5"/>
      <c r="Y59" s="5"/>
      <c r="Z59" s="147"/>
      <c r="AA59" s="5"/>
      <c r="AB59" s="5"/>
      <c r="AC59" s="2"/>
    </row>
    <row r="60" spans="1:29" ht="15.75">
      <c r="A60" s="618"/>
      <c r="B60" s="559" t="s">
        <v>1159</v>
      </c>
      <c r="C60" s="459" t="s">
        <v>891</v>
      </c>
      <c r="D60" s="458"/>
      <c r="E60" s="532">
        <f>IF(Input!$B$6="","",IF(Input!$B$6="E","Deg. F",IF(Input!$B$6="M","Deg. C")))</f>
      </c>
      <c r="F60" s="659"/>
      <c r="G60" s="458"/>
      <c r="H60" s="458"/>
      <c r="I60" s="458"/>
      <c r="J60" s="458"/>
      <c r="K60" s="458"/>
      <c r="N60" s="2"/>
      <c r="O60" s="5"/>
      <c r="P60" s="5"/>
      <c r="Q60" s="5"/>
      <c r="R60" s="147"/>
      <c r="S60" s="5"/>
      <c r="T60" s="5"/>
      <c r="U60" s="2"/>
      <c r="V60" s="2"/>
      <c r="W60" s="5"/>
      <c r="X60" s="5"/>
      <c r="Y60" s="5"/>
      <c r="Z60" s="147"/>
      <c r="AA60" s="5"/>
      <c r="AB60" s="5"/>
      <c r="AC60" s="2"/>
    </row>
    <row r="61" spans="1:29" ht="12.75">
      <c r="A61" s="458"/>
      <c r="B61" s="458"/>
      <c r="C61" s="458"/>
      <c r="D61" s="458"/>
      <c r="E61" s="458"/>
      <c r="F61" s="458"/>
      <c r="G61" s="458"/>
      <c r="H61" s="458"/>
      <c r="I61" s="458"/>
      <c r="J61" s="458"/>
      <c r="K61" s="458"/>
      <c r="N61" s="2"/>
      <c r="O61" s="5"/>
      <c r="P61" s="5"/>
      <c r="Q61" s="5"/>
      <c r="R61" s="147"/>
      <c r="S61" s="5"/>
      <c r="T61" s="5"/>
      <c r="U61" s="2"/>
      <c r="V61" s="2"/>
      <c r="W61" s="5"/>
      <c r="X61" s="5"/>
      <c r="Y61" s="5"/>
      <c r="Z61" s="147"/>
      <c r="AA61" s="5"/>
      <c r="AB61" s="5"/>
      <c r="AC61" s="2"/>
    </row>
    <row r="62" spans="1:29" ht="15.75">
      <c r="A62" s="458"/>
      <c r="B62" s="459" t="s">
        <v>1160</v>
      </c>
      <c r="C62" s="458"/>
      <c r="D62" s="458"/>
      <c r="E62" s="458"/>
      <c r="F62" s="459" t="s">
        <v>780</v>
      </c>
      <c r="G62" s="458"/>
      <c r="H62" s="458"/>
      <c r="I62" s="458"/>
      <c r="J62" s="458"/>
      <c r="K62" s="458"/>
      <c r="N62" s="2"/>
      <c r="O62" s="5"/>
      <c r="P62" s="5"/>
      <c r="Q62" s="5"/>
      <c r="R62" s="147"/>
      <c r="S62" s="5"/>
      <c r="T62" s="5"/>
      <c r="U62" s="2"/>
      <c r="V62" s="2"/>
      <c r="W62" s="5"/>
      <c r="X62" s="5"/>
      <c r="Y62" s="5"/>
      <c r="Z62" s="147"/>
      <c r="AA62" s="5"/>
      <c r="AB62" s="5"/>
      <c r="AC62" s="2"/>
    </row>
    <row r="63" spans="1:29" ht="15.75">
      <c r="A63" s="458"/>
      <c r="B63" s="459" t="s">
        <v>1161</v>
      </c>
      <c r="C63" s="458"/>
      <c r="D63" s="458"/>
      <c r="E63" s="458"/>
      <c r="F63" s="459" t="s">
        <v>832</v>
      </c>
      <c r="G63" s="458"/>
      <c r="H63" s="458"/>
      <c r="I63" s="458"/>
      <c r="J63" s="458"/>
      <c r="K63" s="458"/>
      <c r="N63" s="2"/>
      <c r="O63" s="5"/>
      <c r="P63" s="5"/>
      <c r="Q63" s="5"/>
      <c r="R63" s="147"/>
      <c r="S63" s="5"/>
      <c r="T63" s="5"/>
      <c r="U63" s="2"/>
      <c r="V63" s="2"/>
      <c r="W63" s="5"/>
      <c r="X63" s="5"/>
      <c r="Y63" s="5"/>
      <c r="Z63" s="147"/>
      <c r="AA63" s="5"/>
      <c r="AB63" s="5"/>
      <c r="AC63" s="2"/>
    </row>
    <row r="64" spans="1:29" ht="14.25">
      <c r="A64" s="458"/>
      <c r="B64" s="459" t="s">
        <v>892</v>
      </c>
      <c r="C64" s="458"/>
      <c r="D64" s="458"/>
      <c r="E64" s="458"/>
      <c r="F64" s="459" t="s">
        <v>833</v>
      </c>
      <c r="G64" s="458"/>
      <c r="H64" s="458"/>
      <c r="I64" s="458"/>
      <c r="J64" s="458"/>
      <c r="K64" s="458"/>
      <c r="N64" s="2"/>
      <c r="O64" s="5"/>
      <c r="P64" s="5"/>
      <c r="Q64" s="5"/>
      <c r="R64" s="147"/>
      <c r="S64" s="5"/>
      <c r="T64" s="5"/>
      <c r="U64" s="2"/>
      <c r="V64" s="2"/>
      <c r="W64" s="5"/>
      <c r="X64" s="5"/>
      <c r="Y64" s="5"/>
      <c r="Z64" s="147"/>
      <c r="AA64" s="5"/>
      <c r="AB64" s="5"/>
      <c r="AC64" s="2"/>
    </row>
    <row r="65" spans="1:29" ht="12.75">
      <c r="A65" s="458"/>
      <c r="B65" s="459" t="s">
        <v>893</v>
      </c>
      <c r="C65" s="458"/>
      <c r="D65" s="458"/>
      <c r="E65" s="458"/>
      <c r="F65" s="458"/>
      <c r="G65" s="458"/>
      <c r="H65" s="458"/>
      <c r="I65" s="458"/>
      <c r="J65" s="458"/>
      <c r="K65" s="458"/>
      <c r="M65" s="114"/>
      <c r="N65" s="2"/>
      <c r="O65" s="4"/>
      <c r="P65" s="148"/>
      <c r="Q65" s="148"/>
      <c r="R65" s="148"/>
      <c r="S65" s="148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19" ht="15">
      <c r="A66" s="458"/>
      <c r="B66" s="660" t="s">
        <v>894</v>
      </c>
      <c r="C66" s="572"/>
      <c r="D66" s="572"/>
      <c r="E66" s="458"/>
      <c r="F66" s="458"/>
      <c r="G66" s="458"/>
      <c r="H66" s="458"/>
      <c r="I66" s="524" t="s">
        <v>1162</v>
      </c>
      <c r="J66" s="661" t="s">
        <v>1163</v>
      </c>
      <c r="K66" s="495"/>
      <c r="M66" s="114"/>
      <c r="O66" s="4"/>
      <c r="P66" s="5"/>
      <c r="Q66" s="5"/>
      <c r="R66" s="5"/>
      <c r="S66" s="5"/>
    </row>
    <row r="67" spans="1:19" ht="14.25">
      <c r="A67" s="458"/>
      <c r="B67" s="458"/>
      <c r="C67" s="458"/>
      <c r="D67" s="458"/>
      <c r="E67" s="458"/>
      <c r="F67" s="572"/>
      <c r="G67" s="524" t="s">
        <v>1146</v>
      </c>
      <c r="H67" s="572"/>
      <c r="I67" s="516" t="s">
        <v>556</v>
      </c>
      <c r="J67" s="516" t="s">
        <v>555</v>
      </c>
      <c r="K67" s="495"/>
      <c r="O67" s="4"/>
      <c r="P67" s="147"/>
      <c r="Q67" s="147"/>
      <c r="R67" s="147"/>
      <c r="S67" s="147"/>
    </row>
    <row r="68" spans="1:19" ht="14.25">
      <c r="A68" s="458"/>
      <c r="B68" s="572"/>
      <c r="C68" s="572"/>
      <c r="D68" s="524" t="s">
        <v>1144</v>
      </c>
      <c r="E68" s="524" t="s">
        <v>1137</v>
      </c>
      <c r="F68" s="524" t="s">
        <v>1145</v>
      </c>
      <c r="G68" s="516" t="s">
        <v>556</v>
      </c>
      <c r="H68" s="662" t="s">
        <v>556</v>
      </c>
      <c r="I68" s="517" t="s">
        <v>62</v>
      </c>
      <c r="J68" s="517" t="s">
        <v>62</v>
      </c>
      <c r="K68" s="663"/>
      <c r="O68" s="4"/>
      <c r="P68" s="5"/>
      <c r="Q68" s="5"/>
      <c r="R68" s="5"/>
      <c r="S68" s="5"/>
    </row>
    <row r="69" spans="1:19" ht="12.75">
      <c r="A69" s="458"/>
      <c r="B69" s="572"/>
      <c r="C69" s="664"/>
      <c r="D69" s="516" t="s">
        <v>1140</v>
      </c>
      <c r="E69" s="516" t="s">
        <v>1158</v>
      </c>
      <c r="F69" s="648" t="s">
        <v>1139</v>
      </c>
      <c r="G69" s="517" t="s">
        <v>1141</v>
      </c>
      <c r="H69" s="665" t="s">
        <v>1142</v>
      </c>
      <c r="I69" s="666" t="s">
        <v>1143</v>
      </c>
      <c r="J69" s="666" t="s">
        <v>1154</v>
      </c>
      <c r="K69" s="514"/>
      <c r="O69" s="2"/>
      <c r="P69" s="5"/>
      <c r="Q69" s="5"/>
      <c r="R69" s="5"/>
      <c r="S69" s="5"/>
    </row>
    <row r="70" spans="1:19" ht="12.75">
      <c r="A70" s="458"/>
      <c r="B70" s="512" t="s">
        <v>111</v>
      </c>
      <c r="C70" s="525" t="s">
        <v>114</v>
      </c>
      <c r="D70" s="601">
        <f>IF(Input!$B$6="","",IF(Input!$B$6="E","(lbs.)",IF(Input!$B$6="M","(N)")))</f>
      </c>
      <c r="E70" s="601">
        <f>IF(Input!$B$6="","",IF(Input!$B$6="E","(lbs.)",IF(Input!$B$6="M","(N)")))</f>
      </c>
      <c r="F70" s="601">
        <f>IF(Input!$B$6="","",IF(Input!$B$6="E","(lbs.)",IF(Input!$B$6="M","(N)")))</f>
      </c>
      <c r="G70" s="601">
        <f>IF(Input!$B$6="","",IF(Input!$B$6="E","(lbs.)",IF(Input!$B$6="M","(N)")))</f>
      </c>
      <c r="H70" s="621" t="s">
        <v>63</v>
      </c>
      <c r="I70" s="601">
        <f>IF(Input!$B$6="","",IF(Input!$B$6="E","(Deg. F)",IF(Input!$B$6="M","Deg. C")))</f>
      </c>
      <c r="J70" s="601">
        <f>IF(Input!$B$6="","",IF(Input!$B$6="E","(Deg. F)",IF(Input!$B$6="M","Deg. C")))</f>
      </c>
      <c r="K70" s="495"/>
      <c r="O70" s="4"/>
      <c r="P70" s="148"/>
      <c r="Q70" s="148"/>
      <c r="R70" s="148"/>
      <c r="S70" s="148"/>
    </row>
    <row r="71" spans="1:19" ht="12.75">
      <c r="A71" s="458"/>
      <c r="B71" s="525" t="s">
        <v>90</v>
      </c>
      <c r="C71" s="558">
        <f>C50</f>
      </c>
      <c r="D71" s="569">
        <f>IF('Setup Bm Input'!D63="","",'Setup Bm Input'!$B$29)</f>
      </c>
      <c r="E71" s="569">
        <f>I50</f>
      </c>
      <c r="F71" s="569">
        <f>IF('Setup Bm Input'!D63="","",D71+E71)</f>
      </c>
      <c r="G71" s="569">
        <f>IF('Setup Bm Input'!D63="","",IF('Setup Bm Input'!F63="","No Fu Input",IF(Input!$B$6="E",0.8*'Setup Bm Input'!D63*'Setup Bm Input'!F63,0.8*'Setup Bm Input'!D63*'Setup Bm Input'!F63/1000)))</f>
      </c>
      <c r="H71" s="566">
        <f>IF('Setup Bm Input'!D63="","",IF(G71="No Fu Input","No Fu Input",IF(((G71-F71)&lt;0),"NG/Exceeds","No")))</f>
      </c>
      <c r="I71" s="667">
        <f>IF('Setup Bm Input'!D63="","",IF('Setup Bm Input'!$F$34="Yes","NA SS Bed",IF(H71="No Fu Input","No Fu Input",IF(Input!$B$6="E",(G71-(F71-G50))/(Thermal!$D$54*'Setup Bm Input'!E63*'Setup Bm Input'!D63),(G71-(F71-G50))/(Thermal!$D$54*'Setup Bm Input'!E63*'Setup Bm Input'!D63)*1000))))</f>
      </c>
      <c r="J71" s="667">
        <f>IF('Setup Bm Input'!D63="","",IF('Setup Bm Input'!$F$34="Yes","NA SS Bed",IF(I71="No Fu Input","No Fu Inupt",Thermal!$D$56-'Singlet F'!I71)))</f>
      </c>
      <c r="K71" s="519"/>
      <c r="O71" s="4"/>
      <c r="P71" s="139"/>
      <c r="Q71" s="139"/>
      <c r="R71" s="139"/>
      <c r="S71" s="139"/>
    </row>
    <row r="72" spans="1:19" ht="12.75">
      <c r="A72" s="458"/>
      <c r="B72" s="525" t="s">
        <v>91</v>
      </c>
      <c r="C72" s="558">
        <f>C51</f>
      </c>
      <c r="D72" s="569">
        <f>IF('Setup Bm Input'!D64="","",'Setup Bm Input'!$B$29)</f>
      </c>
      <c r="E72" s="569">
        <f>I51</f>
      </c>
      <c r="F72" s="569">
        <f>IF('Setup Bm Input'!D64="","",D72+E72)</f>
      </c>
      <c r="G72" s="569">
        <f>IF('Setup Bm Input'!D64="","",IF('Setup Bm Input'!F64="","No Fu Input",IF(Input!$B$6="E",0.8*'Setup Bm Input'!D64*'Setup Bm Input'!F64,0.8*'Setup Bm Input'!D64*'Setup Bm Input'!F64/1000)))</f>
      </c>
      <c r="H72" s="566">
        <f>IF('Setup Bm Input'!D64="","",IF(G72="No Fu Input","No Fu Input",IF(((G72-F72)&lt;0),"NG/Exceeds","No")))</f>
      </c>
      <c r="I72" s="667">
        <f>IF('Setup Bm Input'!D64="","",IF('Setup Bm Input'!$F$34="Yes","NA SS Bed",IF(H72="No Fu Input","No Fu Input",IF(Input!$B$6="E",(G72-(F72-G51))/(Thermal!$D$54*'Setup Bm Input'!E64*'Setup Bm Input'!D64),(G72-(F72-G51))/(Thermal!$D$54*'Setup Bm Input'!E64*'Setup Bm Input'!D64)*1000))))</f>
      </c>
      <c r="J72" s="667">
        <f>IF('Setup Bm Input'!D64="","",IF('Setup Bm Input'!$F$34="Yes","NA SS Bed",IF(I72="No Fu Input","No Fu Inupt",Thermal!$D$56-'Singlet F'!I72)))</f>
      </c>
      <c r="K72" s="495"/>
      <c r="O72" s="4"/>
      <c r="P72" s="147"/>
      <c r="Q72" s="147"/>
      <c r="R72" s="147"/>
      <c r="S72" s="147"/>
    </row>
    <row r="73" spans="1:19" ht="12.75">
      <c r="A73" s="458"/>
      <c r="B73" s="630" t="s">
        <v>92</v>
      </c>
      <c r="C73" s="558">
        <f>C52</f>
      </c>
      <c r="D73" s="569">
        <f>IF('Setup Bm Input'!D65="","",'Setup Bm Input'!$B$29)</f>
      </c>
      <c r="E73" s="569">
        <f>I52</f>
      </c>
      <c r="F73" s="569">
        <f>IF('Setup Bm Input'!D65="","",D73+E73)</f>
      </c>
      <c r="G73" s="569">
        <f>IF('Setup Bm Input'!D65="","",IF('Setup Bm Input'!F65="","No Fu Input",IF(Input!$B$6="E",0.8*'Setup Bm Input'!D65*'Setup Bm Input'!F65,0.8*'Setup Bm Input'!D65*'Setup Bm Input'!F65/1000)))</f>
      </c>
      <c r="H73" s="566">
        <f>IF('Setup Bm Input'!D65="","",IF(G73="No Fu Input","No Fu Input",IF(((G73-F73)&lt;0),"NG/Exceeds","No")))</f>
      </c>
      <c r="I73" s="667">
        <f>IF('Setup Bm Input'!D65="","",IF('Setup Bm Input'!$F$34="Yes","NA SS Bed",IF(H73="No Fu Input","No Fu Input",IF(Input!$B$6="E",(G73-(F73-G52))/(Thermal!$D$54*'Setup Bm Input'!E65*'Setup Bm Input'!D65),(G73-(F73-G52))/(Thermal!$D$54*'Setup Bm Input'!E65*'Setup Bm Input'!D65)*1000))))</f>
      </c>
      <c r="J73" s="667">
        <f>IF('Setup Bm Input'!D65="","",IF('Setup Bm Input'!$F$34="Yes","NA SS Bed",IF(I73="No Fu Input","No Fu Inupt",Thermal!$D$56-'Singlet F'!I73)))</f>
      </c>
      <c r="K73" s="495"/>
      <c r="O73" s="4"/>
      <c r="P73" s="5"/>
      <c r="Q73" s="5"/>
      <c r="R73" s="5"/>
      <c r="S73" s="5"/>
    </row>
    <row r="74" spans="1:19" ht="12.75">
      <c r="A74" s="458"/>
      <c r="B74" s="525" t="s">
        <v>93</v>
      </c>
      <c r="C74" s="558">
        <f>C53</f>
      </c>
      <c r="D74" s="569">
        <f>IF('Setup Bm Input'!D66="","",'Setup Bm Input'!$B$29)</f>
      </c>
      <c r="E74" s="569">
        <f>I53</f>
      </c>
      <c r="F74" s="569">
        <f>IF('Setup Bm Input'!D66="","",D74+E74)</f>
      </c>
      <c r="G74" s="569">
        <f>IF('Setup Bm Input'!D66="","",IF('Setup Bm Input'!F66="","No Fu Input",IF(Input!$B$6="E",0.8*'Setup Bm Input'!D66*'Setup Bm Input'!F66,0.8*'Setup Bm Input'!D66*'Setup Bm Input'!F66/1000)))</f>
      </c>
      <c r="H74" s="566">
        <f>IF('Setup Bm Input'!D66="","",IF(G74="No Fu Input","No Fu Input",IF(((G74-F74)&lt;0),"NG/Exceeds","No")))</f>
      </c>
      <c r="I74" s="667">
        <f>IF('Setup Bm Input'!D66="","",IF('Setup Bm Input'!$F$34="Yes","NA SS Bed",IF(H74="No Fu Input","No Fu Input",IF(Input!$B$6="E",(G74-(F74-G53))/(Thermal!$D$54*'Setup Bm Input'!E66*'Setup Bm Input'!D66),(G74-(F74-G53))/(Thermal!$D$54*'Setup Bm Input'!E66*'Setup Bm Input'!D66)*1000))))</f>
      </c>
      <c r="J74" s="667">
        <f>IF('Setup Bm Input'!D66="","",IF('Setup Bm Input'!$F$34="Yes","NA SS Bed",IF(I74="No Fu Input","No Fu Inupt",Thermal!$D$56-'Singlet F'!I74)))</f>
      </c>
      <c r="K74" s="495"/>
      <c r="O74" s="4"/>
      <c r="P74" s="5"/>
      <c r="Q74" s="5"/>
      <c r="R74" s="5"/>
      <c r="S74" s="5"/>
    </row>
    <row r="75" spans="1:19" ht="12.75">
      <c r="A75" s="458"/>
      <c r="B75" s="458"/>
      <c r="C75" s="458"/>
      <c r="D75" s="458"/>
      <c r="E75" s="458"/>
      <c r="F75" s="458"/>
      <c r="G75" s="458"/>
      <c r="H75" s="458"/>
      <c r="I75" s="458"/>
      <c r="J75" s="495"/>
      <c r="K75" s="495"/>
      <c r="O75" s="4"/>
      <c r="P75" s="5"/>
      <c r="Q75" s="5"/>
      <c r="R75" s="5"/>
      <c r="S75" s="5"/>
    </row>
    <row r="76" spans="1:11" ht="12.75">
      <c r="A76" s="458"/>
      <c r="B76" s="458"/>
      <c r="C76" s="458"/>
      <c r="D76" s="458"/>
      <c r="E76" s="458"/>
      <c r="F76" s="458"/>
      <c r="G76" s="458"/>
      <c r="H76" s="458"/>
      <c r="I76" s="458"/>
      <c r="J76" s="458"/>
      <c r="K76" s="458"/>
    </row>
    <row r="77" spans="1:11" ht="12.75">
      <c r="A77" s="618" t="s">
        <v>98</v>
      </c>
      <c r="B77" s="788"/>
      <c r="C77" s="117"/>
      <c r="D77" s="117"/>
      <c r="E77" s="117"/>
      <c r="F77" s="117"/>
      <c r="G77" s="117"/>
      <c r="H77" s="117"/>
      <c r="I77" s="117"/>
      <c r="J77" s="117"/>
      <c r="K77" s="117"/>
    </row>
    <row r="78" spans="1:11" ht="12.75">
      <c r="A78" s="458"/>
      <c r="B78" s="657"/>
      <c r="C78" s="657"/>
      <c r="D78" s="657"/>
      <c r="E78" s="657"/>
      <c r="F78" s="657"/>
      <c r="G78" s="657"/>
      <c r="H78" s="657"/>
      <c r="I78" s="657"/>
      <c r="J78" s="657"/>
      <c r="K78" s="657"/>
    </row>
    <row r="79" spans="1:11" ht="12.75">
      <c r="A79" s="117"/>
      <c r="B79" s="117"/>
      <c r="C79" s="117"/>
      <c r="D79" s="117"/>
      <c r="E79" s="117"/>
      <c r="F79" s="117"/>
      <c r="G79" s="117"/>
      <c r="H79" s="117"/>
      <c r="I79" s="117"/>
      <c r="J79" s="117"/>
      <c r="K79" s="117"/>
    </row>
    <row r="80" spans="1:11" ht="12.75">
      <c r="A80" s="458"/>
      <c r="B80" s="458"/>
      <c r="C80" s="458"/>
      <c r="D80" s="458"/>
      <c r="E80" s="458"/>
      <c r="F80" s="458"/>
      <c r="G80" s="458"/>
      <c r="H80" s="655"/>
      <c r="I80" s="495"/>
      <c r="J80" s="495"/>
      <c r="K80" s="495"/>
    </row>
    <row r="81" spans="1:11" ht="12.75">
      <c r="A81" s="458"/>
      <c r="B81" s="458"/>
      <c r="C81" s="458"/>
      <c r="D81" s="458"/>
      <c r="E81" s="458"/>
      <c r="F81" s="655" t="s">
        <v>967</v>
      </c>
      <c r="G81" s="534">
        <f>IF(Input!E14="","",Input!E14)</f>
      </c>
      <c r="H81" s="580"/>
      <c r="I81" s="490"/>
      <c r="J81" s="458"/>
      <c r="K81" s="458"/>
    </row>
    <row r="82" spans="1:11" ht="12.75">
      <c r="A82" s="656" t="s">
        <v>1208</v>
      </c>
      <c r="B82" s="458"/>
      <c r="C82" s="458"/>
      <c r="D82" s="458"/>
      <c r="E82" s="458"/>
      <c r="F82" s="458"/>
      <c r="G82" s="458"/>
      <c r="H82" s="458"/>
      <c r="I82" s="458"/>
      <c r="J82" s="458"/>
      <c r="K82" s="458"/>
    </row>
    <row r="83" spans="1:8" ht="12.75">
      <c r="A83" s="151"/>
      <c r="B83" s="151"/>
      <c r="C83" s="151"/>
      <c r="D83" s="151"/>
      <c r="E83" s="151"/>
      <c r="F83" s="151"/>
      <c r="G83" s="151"/>
      <c r="H83" s="54"/>
    </row>
    <row r="84" spans="1:8" ht="12.75">
      <c r="A84" s="152"/>
      <c r="B84" s="152"/>
      <c r="C84" s="152"/>
      <c r="D84" s="152"/>
      <c r="E84" s="152"/>
      <c r="F84" s="153"/>
      <c r="G84" s="153"/>
      <c r="H84" s="153"/>
    </row>
  </sheetData>
  <sheetProtection sheet="1"/>
  <mergeCells count="9">
    <mergeCell ref="A1:C1"/>
    <mergeCell ref="A42:K42"/>
    <mergeCell ref="A55:K55"/>
    <mergeCell ref="A10:K10"/>
    <mergeCell ref="A11:K11"/>
    <mergeCell ref="A12:K12"/>
    <mergeCell ref="A13:K13"/>
    <mergeCell ref="D14:D17"/>
    <mergeCell ref="A27:K27"/>
  </mergeCells>
  <printOptions horizontalCentered="1"/>
  <pageMargins left="0.5" right="0.5" top="0.5" bottom="0.5" header="0" footer="0"/>
  <pageSetup fitToHeight="1" fitToWidth="1" horizontalDpi="600" verticalDpi="600" orientation="portrait" scale="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134"/>
  <sheetViews>
    <sheetView zoomScalePageLayoutView="40" workbookViewId="0" topLeftCell="A1">
      <selection activeCell="A1" sqref="A1:C1"/>
    </sheetView>
  </sheetViews>
  <sheetFormatPr defaultColWidth="9.140625" defaultRowHeight="12.75"/>
  <cols>
    <col min="2" max="2" width="9.8515625" style="0" customWidth="1"/>
    <col min="4" max="4" width="15.421875" style="0" customWidth="1"/>
    <col min="5" max="5" width="10.140625" style="0" customWidth="1"/>
    <col min="6" max="6" width="11.57421875" style="0" bestFit="1" customWidth="1"/>
    <col min="7" max="7" width="12.00390625" style="0" customWidth="1"/>
    <col min="8" max="8" width="11.57421875" style="0" customWidth="1"/>
    <col min="11" max="11" width="9.8515625" style="0" customWidth="1"/>
    <col min="12" max="12" width="10.57421875" style="0" customWidth="1"/>
    <col min="14" max="14" width="10.7109375" style="0" customWidth="1"/>
    <col min="15" max="16" width="12.7109375" style="0" customWidth="1"/>
  </cols>
  <sheetData>
    <row r="1" spans="1:22" ht="12.75">
      <c r="A1" s="1020" t="s">
        <v>835</v>
      </c>
      <c r="B1" s="1026"/>
      <c r="C1" s="1026"/>
      <c r="D1" s="65"/>
      <c r="H1" s="65"/>
      <c r="I1" s="65"/>
      <c r="J1" s="65"/>
      <c r="K1" s="61"/>
      <c r="L1" s="61"/>
      <c r="M1" s="61"/>
      <c r="N1" s="61"/>
      <c r="O1" s="61"/>
      <c r="P1" s="8"/>
      <c r="Q1" s="21"/>
      <c r="R1" s="21"/>
      <c r="S1" s="18"/>
      <c r="T1" s="18"/>
      <c r="U1" s="18"/>
      <c r="V1" s="18"/>
    </row>
    <row r="2" spans="1:22" ht="15.75">
      <c r="A2" s="695" t="s">
        <v>1273</v>
      </c>
      <c r="B2" s="668"/>
      <c r="C2" s="668"/>
      <c r="D2" s="668"/>
      <c r="E2" s="668"/>
      <c r="F2" s="668"/>
      <c r="G2" s="668"/>
      <c r="H2" s="668"/>
      <c r="I2" s="668"/>
      <c r="J2" s="668"/>
      <c r="K2" s="61"/>
      <c r="L2" s="61"/>
      <c r="M2" s="61"/>
      <c r="N2" s="61"/>
      <c r="O2" s="61"/>
      <c r="P2" s="8"/>
      <c r="Q2" s="21"/>
      <c r="R2" s="21"/>
      <c r="S2" s="18"/>
      <c r="T2" s="18"/>
      <c r="U2" s="18"/>
      <c r="V2" s="18"/>
    </row>
    <row r="3" spans="1:22" ht="12.75">
      <c r="A3" s="320"/>
      <c r="B3" s="696"/>
      <c r="C3" s="65"/>
      <c r="D3" s="320"/>
      <c r="E3" s="65"/>
      <c r="F3" s="65"/>
      <c r="G3" s="320"/>
      <c r="H3" s="65"/>
      <c r="I3" s="668"/>
      <c r="J3" s="668"/>
      <c r="K3" s="65"/>
      <c r="L3" s="65"/>
      <c r="M3" s="65"/>
      <c r="N3" s="65"/>
      <c r="O3" s="65"/>
      <c r="P3" s="8"/>
      <c r="Q3" s="21"/>
      <c r="R3" s="21"/>
      <c r="S3" s="18"/>
      <c r="T3" s="18"/>
      <c r="U3" s="18"/>
      <c r="V3" s="18"/>
    </row>
    <row r="4" spans="1:22" ht="12.75">
      <c r="A4" s="65"/>
      <c r="B4" s="239"/>
      <c r="C4" s="65"/>
      <c r="D4" s="320"/>
      <c r="E4" s="65"/>
      <c r="F4" s="65"/>
      <c r="G4" s="65"/>
      <c r="H4" s="65"/>
      <c r="I4" s="668"/>
      <c r="J4" s="668"/>
      <c r="K4" s="65"/>
      <c r="L4" s="65"/>
      <c r="M4" s="65"/>
      <c r="N4" s="65"/>
      <c r="O4" s="65"/>
      <c r="P4" s="8"/>
      <c r="Q4" s="21"/>
      <c r="R4" s="21"/>
      <c r="S4" s="18"/>
      <c r="T4" s="18"/>
      <c r="U4" s="18"/>
      <c r="V4" s="18"/>
    </row>
    <row r="5" spans="1:22" ht="12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8"/>
      <c r="Q5" s="21"/>
      <c r="R5" s="21"/>
      <c r="S5" s="18"/>
      <c r="T5" s="18"/>
      <c r="U5" s="18"/>
      <c r="V5" s="18"/>
    </row>
    <row r="6" spans="1:22" ht="12.75">
      <c r="A6" s="61" t="s">
        <v>113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8"/>
      <c r="Q6" s="21"/>
      <c r="R6" s="21"/>
      <c r="S6" s="18"/>
      <c r="T6" s="18"/>
      <c r="U6" s="18"/>
      <c r="V6" s="18"/>
    </row>
    <row r="7" spans="1:22" ht="4.5" customHeight="1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65"/>
      <c r="Q7" s="21"/>
      <c r="R7" s="21"/>
      <c r="S7" s="18"/>
      <c r="T7" s="18"/>
      <c r="U7" s="18"/>
      <c r="V7" s="18"/>
    </row>
    <row r="8" spans="1:22" ht="12.75">
      <c r="A8" s="61" t="s">
        <v>1274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8" t="str">
        <f>Main!J1</f>
        <v>Revised 4/22/16</v>
      </c>
      <c r="O8" s="65"/>
      <c r="P8" s="65"/>
      <c r="Q8" s="21"/>
      <c r="R8" s="21"/>
      <c r="S8" s="18"/>
      <c r="T8" s="18"/>
      <c r="U8" s="18"/>
      <c r="V8" s="18"/>
    </row>
    <row r="9" spans="1:22" ht="15.75">
      <c r="A9" s="1027" t="s">
        <v>84</v>
      </c>
      <c r="B9" s="1028"/>
      <c r="C9" s="1028"/>
      <c r="D9" s="1028"/>
      <c r="E9" s="1028"/>
      <c r="F9" s="1028"/>
      <c r="G9" s="1028"/>
      <c r="H9" s="1028"/>
      <c r="I9" s="1028"/>
      <c r="J9" s="1028"/>
      <c r="K9" s="1028"/>
      <c r="L9" s="1028"/>
      <c r="M9" s="1028"/>
      <c r="N9" s="1028"/>
      <c r="O9" s="1028"/>
      <c r="P9" s="53"/>
      <c r="Q9" s="21"/>
      <c r="R9" s="21"/>
      <c r="S9" s="18"/>
      <c r="T9" s="18"/>
      <c r="U9" s="18"/>
      <c r="V9" s="18"/>
    </row>
    <row r="10" spans="1:22" ht="12.75">
      <c r="A10" s="1029" t="s">
        <v>100</v>
      </c>
      <c r="B10" s="1028"/>
      <c r="C10" s="1028"/>
      <c r="D10" s="1028"/>
      <c r="E10" s="1028"/>
      <c r="F10" s="1028"/>
      <c r="G10" s="1028"/>
      <c r="H10" s="1028"/>
      <c r="I10" s="1028"/>
      <c r="J10" s="1028"/>
      <c r="K10" s="1028"/>
      <c r="L10" s="1028"/>
      <c r="M10" s="1028"/>
      <c r="N10" s="1028"/>
      <c r="O10" s="1028"/>
      <c r="P10" s="322"/>
      <c r="Q10" s="21"/>
      <c r="R10" s="21"/>
      <c r="S10" s="18"/>
      <c r="T10" s="18"/>
      <c r="U10" s="18"/>
      <c r="V10" s="18"/>
    </row>
    <row r="11" spans="1:22" ht="12.75">
      <c r="A11" s="1029" t="s">
        <v>101</v>
      </c>
      <c r="B11" s="1028"/>
      <c r="C11" s="1028"/>
      <c r="D11" s="1028"/>
      <c r="E11" s="1028"/>
      <c r="F11" s="1028"/>
      <c r="G11" s="1028"/>
      <c r="H11" s="1028"/>
      <c r="I11" s="1028"/>
      <c r="J11" s="1028"/>
      <c r="K11" s="1028"/>
      <c r="L11" s="1028"/>
      <c r="M11" s="1028"/>
      <c r="N11" s="1028"/>
      <c r="O11" s="1028"/>
      <c r="P11" s="322"/>
      <c r="Q11" s="21"/>
      <c r="R11" s="21"/>
      <c r="S11" s="18"/>
      <c r="T11" s="18"/>
      <c r="U11" s="18"/>
      <c r="V11" s="18"/>
    </row>
    <row r="12" spans="1:22" ht="12.75">
      <c r="A12" s="1032" t="s">
        <v>1245</v>
      </c>
      <c r="B12" s="1037"/>
      <c r="C12" s="1037"/>
      <c r="D12" s="1037"/>
      <c r="E12" s="1037"/>
      <c r="F12" s="1037"/>
      <c r="G12" s="1037"/>
      <c r="H12" s="1037"/>
      <c r="I12" s="1037"/>
      <c r="J12" s="1037"/>
      <c r="K12" s="1037"/>
      <c r="L12" s="1037"/>
      <c r="M12" s="1037"/>
      <c r="N12" s="1037"/>
      <c r="O12" s="1037"/>
      <c r="P12" s="322"/>
      <c r="Q12" s="21"/>
      <c r="R12" s="21"/>
      <c r="S12" s="18"/>
      <c r="T12" s="18"/>
      <c r="U12" s="18"/>
      <c r="V12" s="18"/>
    </row>
    <row r="13" spans="1:22" ht="12.75">
      <c r="A13" s="458"/>
      <c r="B13" s="458"/>
      <c r="C13" s="458"/>
      <c r="D13" s="461" t="s">
        <v>954</v>
      </c>
      <c r="E13" s="462">
        <f>IF(Input!$B$7="","",Input!$B$7)</f>
      </c>
      <c r="F13" s="463"/>
      <c r="G13" s="1023" t="s">
        <v>106</v>
      </c>
      <c r="H13" s="465">
        <v>1</v>
      </c>
      <c r="I13" s="687"/>
      <c r="J13" s="465">
        <v>5</v>
      </c>
      <c r="K13" s="687"/>
      <c r="L13" s="467" t="s">
        <v>559</v>
      </c>
      <c r="M13" s="571"/>
      <c r="N13" s="468"/>
      <c r="O13" s="300"/>
      <c r="P13" s="60"/>
      <c r="Q13" s="21"/>
      <c r="R13" s="21"/>
      <c r="S13" s="18"/>
      <c r="T13" s="18"/>
      <c r="U13" s="18"/>
      <c r="V13" s="18"/>
    </row>
    <row r="14" spans="1:22" ht="12.75">
      <c r="A14" s="458"/>
      <c r="B14" s="458"/>
      <c r="C14" s="458"/>
      <c r="D14" s="461" t="s">
        <v>102</v>
      </c>
      <c r="E14" s="462">
        <f>IF(Input!$B$8="","",Input!$B$8)</f>
      </c>
      <c r="F14" s="463"/>
      <c r="G14" s="1024"/>
      <c r="H14" s="465">
        <v>2</v>
      </c>
      <c r="I14" s="687"/>
      <c r="J14" s="465">
        <v>6</v>
      </c>
      <c r="K14" s="687"/>
      <c r="L14" s="470" t="s">
        <v>50</v>
      </c>
      <c r="M14" s="471">
        <f ca="1">TODAY()</f>
        <v>42480</v>
      </c>
      <c r="N14" s="468"/>
      <c r="O14" s="300"/>
      <c r="P14" s="60"/>
      <c r="Q14" s="21"/>
      <c r="R14" s="21"/>
      <c r="S14" s="18"/>
      <c r="T14" s="18"/>
      <c r="U14" s="18"/>
      <c r="V14" s="18"/>
    </row>
    <row r="15" spans="1:22" ht="12.75">
      <c r="A15" s="458"/>
      <c r="B15" s="458"/>
      <c r="C15" s="458"/>
      <c r="D15" s="461" t="s">
        <v>983</v>
      </c>
      <c r="E15" s="462">
        <f>IF(Input!$B$10="","",Input!$B$10)</f>
      </c>
      <c r="F15" s="463"/>
      <c r="G15" s="1024"/>
      <c r="H15" s="465">
        <v>3</v>
      </c>
      <c r="I15" s="687"/>
      <c r="J15" s="465">
        <v>7</v>
      </c>
      <c r="K15" s="687"/>
      <c r="L15" s="461" t="s">
        <v>976</v>
      </c>
      <c r="M15" s="472">
        <f>IF(Input!$B$30="","",Input!$B$30)</f>
      </c>
      <c r="N15" s="473"/>
      <c r="O15" s="300"/>
      <c r="P15" s="60"/>
      <c r="Q15" s="21"/>
      <c r="R15" s="21"/>
      <c r="S15" s="18"/>
      <c r="T15" s="18"/>
      <c r="U15" s="18"/>
      <c r="V15" s="18"/>
    </row>
    <row r="16" spans="1:22" ht="12.75">
      <c r="A16" s="458"/>
      <c r="B16" s="458"/>
      <c r="C16" s="458"/>
      <c r="D16" s="461" t="s">
        <v>955</v>
      </c>
      <c r="E16" s="462">
        <f>IF(Input!$E$5="","",Input!$E$5)</f>
      </c>
      <c r="F16" s="463"/>
      <c r="G16" s="1025"/>
      <c r="H16" s="465">
        <v>4</v>
      </c>
      <c r="I16" s="687"/>
      <c r="J16" s="465">
        <v>8</v>
      </c>
      <c r="K16" s="687"/>
      <c r="L16" s="461" t="s">
        <v>977</v>
      </c>
      <c r="M16" s="472">
        <f>IF(Input!$B$31="","",Input!$B$31)</f>
      </c>
      <c r="N16" s="473"/>
      <c r="O16" s="300"/>
      <c r="P16" s="60"/>
      <c r="Q16" s="21"/>
      <c r="R16" s="21"/>
      <c r="S16" s="18"/>
      <c r="T16" s="18"/>
      <c r="U16" s="18"/>
      <c r="V16" s="18"/>
    </row>
    <row r="17" spans="1:22" ht="12.75">
      <c r="A17" s="458"/>
      <c r="B17" s="458"/>
      <c r="C17" s="458"/>
      <c r="D17" s="475" t="s">
        <v>49</v>
      </c>
      <c r="E17" s="462">
        <f>IF(Input!$E$6="","",Input!$E$6)</f>
      </c>
      <c r="F17" s="463"/>
      <c r="G17" s="461" t="s">
        <v>1256</v>
      </c>
      <c r="H17" s="476">
        <f>IF(Input!$B$68="","",Input!$B$68)</f>
      </c>
      <c r="I17" s="477"/>
      <c r="J17" s="477"/>
      <c r="K17" s="477"/>
      <c r="L17" s="461" t="s">
        <v>972</v>
      </c>
      <c r="M17" s="472">
        <f>IF(Input!$B$32="","",Input!$B$32)</f>
      </c>
      <c r="N17" s="473"/>
      <c r="O17" s="458"/>
      <c r="P17" s="60"/>
      <c r="Q17" s="21"/>
      <c r="R17" s="21"/>
      <c r="S17" s="18"/>
      <c r="T17" s="18"/>
      <c r="U17" s="18"/>
      <c r="V17" s="18"/>
    </row>
    <row r="18" spans="1:22" ht="12.75">
      <c r="A18" s="458"/>
      <c r="B18" s="458"/>
      <c r="C18" s="458"/>
      <c r="D18" s="475" t="s">
        <v>105</v>
      </c>
      <c r="E18" s="462">
        <f>IF(Input!$E$7="","",Input!$E$7)</f>
      </c>
      <c r="F18" s="463"/>
      <c r="G18" s="461" t="s">
        <v>1255</v>
      </c>
      <c r="H18" s="476">
        <f>IF('Setup Bm Input'!$A$46="","",'Setup Bm Input'!$A$46)</f>
      </c>
      <c r="I18" s="477"/>
      <c r="J18" s="477"/>
      <c r="K18" s="477"/>
      <c r="L18" s="461" t="s">
        <v>978</v>
      </c>
      <c r="M18" s="472">
        <f>IF(Input!$B$33="","",Input!$B$33)</f>
      </c>
      <c r="N18" s="473"/>
      <c r="O18" s="458"/>
      <c r="P18" s="60"/>
      <c r="Q18" s="21"/>
      <c r="R18" s="21"/>
      <c r="S18" s="18"/>
      <c r="T18" s="18"/>
      <c r="U18" s="18"/>
      <c r="V18" s="18"/>
    </row>
    <row r="19" spans="1:22" ht="12.75">
      <c r="A19" s="458"/>
      <c r="B19" s="458"/>
      <c r="C19" s="458"/>
      <c r="D19" s="475" t="s">
        <v>48</v>
      </c>
      <c r="E19" s="462">
        <f>IF(Input!$E$8="","",Input!$E$8)</f>
      </c>
      <c r="F19" s="463"/>
      <c r="G19" s="477"/>
      <c r="H19" s="477"/>
      <c r="I19" s="477"/>
      <c r="J19" s="477"/>
      <c r="K19" s="477"/>
      <c r="L19" s="461" t="s">
        <v>975</v>
      </c>
      <c r="M19" s="472">
        <f>IF(Input!$B$34="","",Input!$B$34)</f>
      </c>
      <c r="N19" s="473"/>
      <c r="O19" s="458"/>
      <c r="P19" s="60"/>
      <c r="Q19" s="21"/>
      <c r="R19" s="21"/>
      <c r="S19" s="18"/>
      <c r="T19" s="18"/>
      <c r="U19" s="18"/>
      <c r="V19" s="18"/>
    </row>
    <row r="20" spans="1:22" ht="12.75">
      <c r="A20" s="458"/>
      <c r="B20" s="458"/>
      <c r="C20" s="458"/>
      <c r="D20" s="461" t="s">
        <v>981</v>
      </c>
      <c r="E20" s="462">
        <f>IF(Input!$B$37="","",Input!$B$37)</f>
      </c>
      <c r="F20" s="463"/>
      <c r="G20" s="477"/>
      <c r="H20" s="477"/>
      <c r="I20" s="477"/>
      <c r="J20" s="477"/>
      <c r="K20" s="477"/>
      <c r="L20" s="461" t="s">
        <v>979</v>
      </c>
      <c r="M20" s="472">
        <f>IF(Input!$B$35="","",Input!$B$35)</f>
      </c>
      <c r="N20" s="473"/>
      <c r="O20" s="458"/>
      <c r="P20" s="60"/>
      <c r="Q20" s="21"/>
      <c r="R20" s="21"/>
      <c r="S20" s="18"/>
      <c r="T20" s="18"/>
      <c r="U20" s="18"/>
      <c r="V20" s="18"/>
    </row>
    <row r="21" spans="1:22" ht="12.75">
      <c r="A21" s="458"/>
      <c r="B21" s="458"/>
      <c r="C21" s="458"/>
      <c r="D21" s="461" t="s">
        <v>97</v>
      </c>
      <c r="E21" s="538"/>
      <c r="F21" s="539"/>
      <c r="G21" s="477"/>
      <c r="H21" s="477"/>
      <c r="I21" s="477"/>
      <c r="J21" s="477"/>
      <c r="K21" s="477"/>
      <c r="L21" s="461" t="s">
        <v>980</v>
      </c>
      <c r="M21" s="472">
        <f>IF(Input!$B$36="","",Input!$B$36)</f>
      </c>
      <c r="N21" s="473"/>
      <c r="O21" s="458"/>
      <c r="P21" s="65"/>
      <c r="Q21" s="21"/>
      <c r="R21" s="21"/>
      <c r="S21" s="18"/>
      <c r="T21" s="18"/>
      <c r="U21" s="18"/>
      <c r="V21" s="18"/>
    </row>
    <row r="22" spans="1:22" ht="12.75">
      <c r="A22" s="458"/>
      <c r="B22" s="458"/>
      <c r="C22" s="458"/>
      <c r="D22" s="461" t="s">
        <v>103</v>
      </c>
      <c r="E22" s="462">
        <f>IF(Input!$B$9="","",Input!$B$9)</f>
      </c>
      <c r="F22" s="463"/>
      <c r="G22" s="477"/>
      <c r="H22" s="477"/>
      <c r="I22" s="477"/>
      <c r="J22" s="477"/>
      <c r="K22" s="477"/>
      <c r="L22" s="478"/>
      <c r="M22" s="479"/>
      <c r="N22" s="480"/>
      <c r="O22" s="458"/>
      <c r="P22" s="65"/>
      <c r="Q22" s="21"/>
      <c r="R22" s="21"/>
      <c r="S22" s="18"/>
      <c r="T22" s="18"/>
      <c r="U22" s="18"/>
      <c r="V22" s="18"/>
    </row>
    <row r="23" spans="1:22" ht="12.75">
      <c r="A23" s="458"/>
      <c r="B23" s="458"/>
      <c r="C23" s="458"/>
      <c r="D23" s="461" t="s">
        <v>104</v>
      </c>
      <c r="E23" s="481">
        <f>'Setup Bm Input'!$B$34</f>
      </c>
      <c r="F23" s="463">
        <f>IF(Input!$B$6="","",IF(Input!$B$6="E","in.",IF(Input!$B$6="M","mm")))</f>
      </c>
      <c r="G23" s="477"/>
      <c r="H23" s="477"/>
      <c r="I23" s="477"/>
      <c r="J23" s="477"/>
      <c r="K23" s="477"/>
      <c r="L23" s="482"/>
      <c r="M23" s="483"/>
      <c r="N23" s="480"/>
      <c r="O23" s="458"/>
      <c r="P23" s="65"/>
      <c r="Q23" s="21"/>
      <c r="R23" s="21"/>
      <c r="S23" s="18"/>
      <c r="T23" s="18"/>
      <c r="U23" s="18"/>
      <c r="V23" s="18"/>
    </row>
    <row r="24" spans="1:22" ht="12.75">
      <c r="A24" s="458"/>
      <c r="B24" s="458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8"/>
      <c r="P24" s="65"/>
      <c r="Q24" s="21"/>
      <c r="R24" s="21"/>
      <c r="S24" s="18"/>
      <c r="T24" s="18"/>
      <c r="U24" s="18"/>
      <c r="V24" s="18"/>
    </row>
    <row r="25" spans="1:22" ht="19.5" customHeight="1">
      <c r="A25" s="75"/>
      <c r="B25" s="77"/>
      <c r="C25" s="72" t="s">
        <v>706</v>
      </c>
      <c r="D25" s="317"/>
      <c r="E25" s="671"/>
      <c r="F25" s="72" t="s">
        <v>707</v>
      </c>
      <c r="G25" s="319"/>
      <c r="H25" s="75"/>
      <c r="I25" s="72" t="s">
        <v>708</v>
      </c>
      <c r="J25" s="318"/>
      <c r="K25" s="75"/>
      <c r="L25" s="75"/>
      <c r="M25" s="75"/>
      <c r="N25" s="75"/>
      <c r="O25" s="75"/>
      <c r="P25" s="65"/>
      <c r="Q25" s="21"/>
      <c r="R25" s="21"/>
      <c r="S25" s="18"/>
      <c r="T25" s="18"/>
      <c r="U25" s="18"/>
      <c r="V25" s="18"/>
    </row>
    <row r="26" spans="1:22" ht="19.5" customHeight="1">
      <c r="A26" s="75"/>
      <c r="B26" s="77"/>
      <c r="C26" s="72"/>
      <c r="D26" s="76" t="s">
        <v>591</v>
      </c>
      <c r="E26" s="671"/>
      <c r="F26" s="458"/>
      <c r="G26" s="458"/>
      <c r="H26" s="75"/>
      <c r="I26" s="75"/>
      <c r="J26" s="75"/>
      <c r="K26" s="75"/>
      <c r="L26" s="75"/>
      <c r="M26" s="75"/>
      <c r="N26" s="75"/>
      <c r="O26" s="300"/>
      <c r="P26" s="65"/>
      <c r="Q26" s="21"/>
      <c r="R26" s="21"/>
      <c r="S26" s="18"/>
      <c r="T26" s="18"/>
      <c r="U26" s="18"/>
      <c r="V26" s="18"/>
    </row>
    <row r="27" spans="1:22" ht="19.5" customHeight="1">
      <c r="A27" s="75"/>
      <c r="B27" s="77"/>
      <c r="C27" s="72" t="s">
        <v>956</v>
      </c>
      <c r="D27" s="79">
        <f>IF('Setup Bm Input'!$B$59="","",'Setup Bm Input'!$B$59)</f>
      </c>
      <c r="E27" s="80"/>
      <c r="F27" s="316"/>
      <c r="G27" s="671"/>
      <c r="H27" s="671"/>
      <c r="I27" s="326" t="s">
        <v>752</v>
      </c>
      <c r="J27" s="328"/>
      <c r="K27" s="329" t="s">
        <v>753</v>
      </c>
      <c r="L27" s="327"/>
      <c r="M27" s="75"/>
      <c r="N27" s="75"/>
      <c r="O27" s="301"/>
      <c r="P27" s="60"/>
      <c r="Q27" s="21"/>
      <c r="R27" s="21"/>
      <c r="S27" s="18"/>
      <c r="T27" s="18"/>
      <c r="U27" s="18"/>
      <c r="V27" s="18"/>
    </row>
    <row r="28" spans="1:22" ht="19.5" customHeight="1">
      <c r="A28" s="75"/>
      <c r="B28" s="77"/>
      <c r="C28" s="75"/>
      <c r="D28" s="75"/>
      <c r="E28" s="75"/>
      <c r="F28" s="75"/>
      <c r="G28" s="75"/>
      <c r="H28" s="75"/>
      <c r="I28" s="968" t="s">
        <v>56</v>
      </c>
      <c r="J28" s="968" t="s">
        <v>56</v>
      </c>
      <c r="K28" s="969" t="s">
        <v>56</v>
      </c>
      <c r="L28" s="970" t="s">
        <v>56</v>
      </c>
      <c r="M28" s="458"/>
      <c r="N28" s="458"/>
      <c r="O28" s="301"/>
      <c r="P28" s="60"/>
      <c r="Q28" s="21"/>
      <c r="R28" s="21"/>
      <c r="S28" s="18"/>
      <c r="T28" s="18"/>
      <c r="U28" s="18"/>
      <c r="V28" s="18"/>
    </row>
    <row r="29" spans="1:22" ht="19.5" customHeight="1">
      <c r="A29" s="75"/>
      <c r="B29" s="458"/>
      <c r="C29" s="458"/>
      <c r="D29" s="697" t="s">
        <v>754</v>
      </c>
      <c r="E29" s="673" t="str">
        <f>IF('Setup Bm Input'!$B$48="","No Input",'Setup Bm Input'!$B$48)</f>
        <v>No Input</v>
      </c>
      <c r="F29" s="458"/>
      <c r="G29" s="360"/>
      <c r="H29" s="360"/>
      <c r="I29" s="312" t="str">
        <f>IF('Setup Bm Input'!$F$51="","No Input",IF('Setup Bm Input'!$F$51="Net","Net El.","Gross El."))</f>
        <v>No Input</v>
      </c>
      <c r="J29" s="314" t="str">
        <f>IF('Setup Bm Input'!$F$51="","No Input",IF('Setup Bm Input'!$F$51="Net","Net El.","Gross El."))</f>
        <v>No Input</v>
      </c>
      <c r="K29" s="325" t="str">
        <f>IF('Setup Bm Input'!$F$51="","No Input",IF('Setup Bm Input'!$F$51="Net","Net El.","Gross El."))</f>
        <v>No Input</v>
      </c>
      <c r="L29" s="312" t="str">
        <f>IF('Setup Bm Input'!$F$51="","No Input",IF('Setup Bm Input'!$F$51="Net","Net El.","Gross El."))</f>
        <v>No Input</v>
      </c>
      <c r="M29" s="458"/>
      <c r="N29" s="458"/>
      <c r="O29" s="301"/>
      <c r="P29" s="60"/>
      <c r="Q29" s="21"/>
      <c r="R29" s="21"/>
      <c r="S29" s="18"/>
      <c r="T29" s="18"/>
      <c r="U29" s="18"/>
      <c r="V29" s="18"/>
    </row>
    <row r="30" spans="1:22" ht="19.5" customHeight="1">
      <c r="A30" s="72"/>
      <c r="B30" s="458"/>
      <c r="C30" s="458"/>
      <c r="D30" s="458"/>
      <c r="E30" s="458"/>
      <c r="F30" s="458"/>
      <c r="G30" s="662" t="s">
        <v>1139</v>
      </c>
      <c r="H30" s="563" t="s">
        <v>56</v>
      </c>
      <c r="I30" s="674" t="s">
        <v>739</v>
      </c>
      <c r="J30" s="675" t="s">
        <v>738</v>
      </c>
      <c r="K30" s="698" t="s">
        <v>750</v>
      </c>
      <c r="L30" s="675" t="s">
        <v>751</v>
      </c>
      <c r="M30" s="458"/>
      <c r="N30" s="458"/>
      <c r="O30" s="301"/>
      <c r="P30" s="60"/>
      <c r="Q30" s="21"/>
      <c r="R30" s="21"/>
      <c r="S30" s="18"/>
      <c r="T30" s="18"/>
      <c r="U30" s="18"/>
      <c r="V30" s="18"/>
    </row>
    <row r="31" spans="1:22" ht="19.5" customHeight="1">
      <c r="A31" s="72"/>
      <c r="B31" s="458"/>
      <c r="C31" s="525" t="s">
        <v>112</v>
      </c>
      <c r="D31" s="525" t="s">
        <v>114</v>
      </c>
      <c r="E31" s="630" t="s">
        <v>741</v>
      </c>
      <c r="F31" s="630" t="s">
        <v>740</v>
      </c>
      <c r="G31" s="600"/>
      <c r="H31" s="312" t="str">
        <f>IF('Setup Bm Input'!$F$51="","No Input",IF('Setup Bm Input'!$F$51="Net","Net El.","Gross El."))</f>
        <v>No Input</v>
      </c>
      <c r="I31" s="676" t="s">
        <v>555</v>
      </c>
      <c r="J31" s="601" t="s">
        <v>556</v>
      </c>
      <c r="K31" s="649" t="s">
        <v>555</v>
      </c>
      <c r="L31" s="601" t="s">
        <v>556</v>
      </c>
      <c r="M31" s="458"/>
      <c r="N31" s="458"/>
      <c r="O31" s="301"/>
      <c r="P31" s="60"/>
      <c r="Q31" s="21"/>
      <c r="R31" s="21"/>
      <c r="S31" s="18"/>
      <c r="T31" s="18"/>
      <c r="U31" s="18"/>
      <c r="V31" s="18"/>
    </row>
    <row r="32" spans="1:22" ht="19.5" customHeight="1">
      <c r="A32" s="72"/>
      <c r="B32" s="458"/>
      <c r="C32" s="525" t="s">
        <v>90</v>
      </c>
      <c r="D32" s="476">
        <f>IF('Setup Bm Input'!$B63="","",'Setup Bm Input'!$B63)</f>
      </c>
      <c r="E32" s="476">
        <f>IF('Setup Bm Input'!$C63="","",'Setup Bm Input'!$C63)</f>
      </c>
      <c r="F32" s="476">
        <f>IF('Setup Bm Input'!$E63="","",'Setup Bm Input'!$E63/1000000)</f>
      </c>
      <c r="G32" s="677">
        <f>IF('Singlet F'!$F71="","",'Singlet F'!$F71)</f>
      </c>
      <c r="H32" s="344" t="str">
        <f>IF('Setup Bm Input'!$F$51="","Error",IF('Singlet E'!$G83="","",IF('Singlet E'!$B83="","",IF('Setup Bm Input'!$F$51="Net",'Singlet E'!$G83,'Singlet E'!$B83))))</f>
        <v>Error</v>
      </c>
      <c r="I32" s="344" t="str">
        <f>IF('Setup Bm Input'!$F$51="","Error",IF('Singlet E'!$H83="","",IF('Singlet E'!$C83="","",IF('Setup Bm Input'!$F$51="Net",'Singlet E'!$H83,'Singlet E'!$C83))))</f>
        <v>Error</v>
      </c>
      <c r="J32" s="344" t="str">
        <f>IF('Setup Bm Input'!$F$51="","Error",IF('Singlet E'!$D83="","",IF('Singlet E'!$I83="","",IF('Setup Bm Input'!$F$51="Net",'Singlet E'!$I83,'Singlet E'!$D83))))</f>
        <v>Error</v>
      </c>
      <c r="K32" s="344" t="str">
        <f>IF('Setup Bm Input'!$F$51="","Error",IF('Singlet E'!$J83="","",IF('Singlet E'!$E83="","",IF('Setup Bm Input'!$F$51="Net",'Singlet E'!$J83,'Singlet E'!$E83))))</f>
        <v>Error</v>
      </c>
      <c r="L32" s="344" t="str">
        <f>IF('Setup Bm Input'!$F$51="","Error",IF('Singlet E'!$K83="","",IF('Singlet E'!$F83="","",IF('Setup Bm Input'!$F$51="Net",'Singlet E'!$K83,'Singlet E'!$F83))))</f>
        <v>Error</v>
      </c>
      <c r="M32" s="458"/>
      <c r="N32" s="458"/>
      <c r="O32" s="301"/>
      <c r="P32" s="60"/>
      <c r="Q32" s="21"/>
      <c r="R32" s="21"/>
      <c r="S32" s="18"/>
      <c r="T32" s="18"/>
      <c r="U32" s="18"/>
      <c r="V32" s="18"/>
    </row>
    <row r="33" spans="1:22" ht="19.5" customHeight="1">
      <c r="A33" s="72"/>
      <c r="B33" s="458"/>
      <c r="C33" s="525" t="s">
        <v>91</v>
      </c>
      <c r="D33" s="476">
        <f>IF('Setup Bm Input'!$B64="","",'Setup Bm Input'!$B64)</f>
      </c>
      <c r="E33" s="476">
        <f>IF('Setup Bm Input'!$C64="","",'Setup Bm Input'!$C64)</f>
      </c>
      <c r="F33" s="476">
        <f>IF('Setup Bm Input'!$E64="","",'Setup Bm Input'!$E64/1000000)</f>
      </c>
      <c r="G33" s="677">
        <f>IF('Singlet F'!$F72="","",'Singlet F'!$F72)</f>
      </c>
      <c r="H33" s="344" t="str">
        <f>IF('Setup Bm Input'!$F$51="","Error",IF('Singlet E'!$G84="","",IF('Singlet E'!$B84="","",IF('Setup Bm Input'!$F$51="Net",'Singlet E'!$G84,'Singlet E'!$B84))))</f>
        <v>Error</v>
      </c>
      <c r="I33" s="344" t="str">
        <f>IF('Setup Bm Input'!$F$51="","Error",IF('Singlet E'!$H84="","",IF('Singlet E'!$C84="","",IF('Setup Bm Input'!$F$51="Net",'Singlet E'!$H84,'Singlet E'!$C84))))</f>
        <v>Error</v>
      </c>
      <c r="J33" s="344" t="str">
        <f>IF('Setup Bm Input'!$F$51="","Error",IF('Singlet E'!$D84="","",IF('Singlet E'!$I84="","",IF('Setup Bm Input'!$F$51="Net",'Singlet E'!$I84,'Singlet E'!$D84))))</f>
        <v>Error</v>
      </c>
      <c r="K33" s="344" t="str">
        <f>IF('Setup Bm Input'!$F$51="","Error",IF('Singlet E'!$J84="","",IF('Singlet E'!$E84="","",IF('Setup Bm Input'!$F$51="Net",'Singlet E'!$J84,'Singlet E'!$E84))))</f>
        <v>Error</v>
      </c>
      <c r="L33" s="344" t="str">
        <f>IF('Setup Bm Input'!$F$51="","Error",IF('Singlet E'!$K84="","",IF('Singlet E'!$F84="","",IF('Setup Bm Input'!$F$51="Net",'Singlet E'!$K84,'Singlet E'!$F84))))</f>
        <v>Error</v>
      </c>
      <c r="M33" s="458"/>
      <c r="N33" s="458"/>
      <c r="O33" s="301"/>
      <c r="P33" s="60"/>
      <c r="Q33" s="21"/>
      <c r="R33" s="21"/>
      <c r="S33" s="18"/>
      <c r="T33" s="18"/>
      <c r="U33" s="18"/>
      <c r="V33" s="18"/>
    </row>
    <row r="34" spans="1:22" ht="19.5" customHeight="1">
      <c r="A34" s="75"/>
      <c r="B34" s="458"/>
      <c r="C34" s="525" t="s">
        <v>92</v>
      </c>
      <c r="D34" s="476">
        <f>IF('Setup Bm Input'!$B65="","",'Setup Bm Input'!$B65)</f>
      </c>
      <c r="E34" s="476">
        <f>IF('Setup Bm Input'!$C65="","",'Setup Bm Input'!$C65)</f>
      </c>
      <c r="F34" s="476">
        <f>IF('Setup Bm Input'!$E65="","",'Setup Bm Input'!$E65/1000000)</f>
      </c>
      <c r="G34" s="677">
        <f>IF('Singlet F'!$F73="","",'Singlet F'!$F73)</f>
      </c>
      <c r="H34" s="344" t="str">
        <f>IF('Setup Bm Input'!$F$51="","Error",IF('Singlet E'!$G85="","",IF('Singlet E'!$B85="","",IF('Setup Bm Input'!$F$51="Net",'Singlet E'!$G85,'Singlet E'!$B85))))</f>
        <v>Error</v>
      </c>
      <c r="I34" s="344" t="str">
        <f>IF('Setup Bm Input'!$F$51="","Error",IF('Singlet E'!$H85="","",IF('Singlet E'!$C85="","",IF('Setup Bm Input'!$F$51="Net",'Singlet E'!$H85,'Singlet E'!$C85))))</f>
        <v>Error</v>
      </c>
      <c r="J34" s="344" t="str">
        <f>IF('Setup Bm Input'!$F$51="","Error",IF('Singlet E'!$D85="","",IF('Singlet E'!$I85="","",IF('Setup Bm Input'!$F$51="Net",'Singlet E'!$I85,'Singlet E'!$D85))))</f>
        <v>Error</v>
      </c>
      <c r="K34" s="344" t="str">
        <f>IF('Setup Bm Input'!$F$51="","Error",IF('Singlet E'!$J85="","",IF('Singlet E'!$E85="","",IF('Setup Bm Input'!$F$51="Net",'Singlet E'!$J85,'Singlet E'!$E85))))</f>
        <v>Error</v>
      </c>
      <c r="L34" s="344" t="str">
        <f>IF('Setup Bm Input'!$F$51="","Error",IF('Singlet E'!$K85="","",IF('Singlet E'!$F85="","",IF('Setup Bm Input'!$F$51="Net",'Singlet E'!$K85,'Singlet E'!$F85))))</f>
        <v>Error</v>
      </c>
      <c r="M34" s="458"/>
      <c r="N34" s="458"/>
      <c r="O34" s="77"/>
      <c r="P34" s="60"/>
      <c r="Q34" s="21"/>
      <c r="R34" s="21"/>
      <c r="S34" s="18"/>
      <c r="T34" s="18"/>
      <c r="U34" s="18"/>
      <c r="V34" s="18"/>
    </row>
    <row r="35" spans="1:22" ht="19.5" customHeight="1">
      <c r="A35" s="458"/>
      <c r="B35" s="458"/>
      <c r="C35" s="525" t="s">
        <v>93</v>
      </c>
      <c r="D35" s="476">
        <f>IF('Setup Bm Input'!$B66="","",'Setup Bm Input'!$B66)</f>
      </c>
      <c r="E35" s="476">
        <f>IF('Setup Bm Input'!$C66="","",'Setup Bm Input'!$C66)</f>
      </c>
      <c r="F35" s="476">
        <f>IF('Setup Bm Input'!$E66="","",'Setup Bm Input'!$E66/1000000)</f>
      </c>
      <c r="G35" s="677">
        <f>IF('Singlet F'!$F74="","",'Singlet F'!$F74)</f>
      </c>
      <c r="H35" s="344" t="str">
        <f>IF('Setup Bm Input'!$F$51="","Error",IF('Singlet E'!$G86="","",IF('Singlet E'!$B86="","",IF('Setup Bm Input'!$F$51="Net",'Singlet E'!$G86,'Singlet E'!$B86))))</f>
        <v>Error</v>
      </c>
      <c r="I35" s="344" t="str">
        <f>IF('Setup Bm Input'!$F$51="","Error",IF('Singlet E'!$H86="","",IF('Singlet E'!$C86="","",IF('Setup Bm Input'!$F$51="Net",'Singlet E'!$H86,'Singlet E'!$C86))))</f>
        <v>Error</v>
      </c>
      <c r="J35" s="344" t="str">
        <f>IF('Setup Bm Input'!$F$51="","Error",IF('Singlet E'!$D86="","",IF('Singlet E'!$I86="","",IF('Setup Bm Input'!$F$51="Net",'Singlet E'!$I86,'Singlet E'!$D86))))</f>
        <v>Error</v>
      </c>
      <c r="K35" s="344" t="str">
        <f>IF('Setup Bm Input'!$F$51="","Error",IF('Singlet E'!$J86="","",IF('Singlet E'!$E86="","",IF('Setup Bm Input'!$F$51="Net",'Singlet E'!$J86,'Singlet E'!$E86))))</f>
        <v>Error</v>
      </c>
      <c r="L35" s="344" t="str">
        <f>IF('Setup Bm Input'!$F$51="","Error",IF('Singlet E'!$K86="","",IF('Singlet E'!$F86="","",IF('Setup Bm Input'!$F$51="Net",'Singlet E'!$K86,'Singlet E'!$F86))))</f>
        <v>Error</v>
      </c>
      <c r="M35" s="458"/>
      <c r="N35" s="458"/>
      <c r="O35" s="458"/>
      <c r="P35" s="60"/>
      <c r="Q35" s="21"/>
      <c r="R35" s="21"/>
      <c r="S35" s="18"/>
      <c r="T35" s="18"/>
      <c r="U35" s="18"/>
      <c r="V35" s="18"/>
    </row>
    <row r="36" spans="1:22" ht="19.5" customHeight="1">
      <c r="A36" s="458"/>
      <c r="B36" s="458"/>
      <c r="C36" s="458"/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60"/>
      <c r="Q36" s="21"/>
      <c r="R36" s="21"/>
      <c r="S36" s="18"/>
      <c r="T36" s="18"/>
      <c r="U36" s="18"/>
      <c r="V36" s="18"/>
    </row>
    <row r="37" spans="1:22" ht="19.5" customHeight="1">
      <c r="A37" s="458"/>
      <c r="B37" s="458"/>
      <c r="C37" s="458"/>
      <c r="D37" s="678" t="s">
        <v>749</v>
      </c>
      <c r="E37" s="458"/>
      <c r="F37" s="458"/>
      <c r="J37" s="458"/>
      <c r="K37" s="679" t="s">
        <v>749</v>
      </c>
      <c r="L37" s="458"/>
      <c r="M37" s="458"/>
      <c r="N37" s="458"/>
      <c r="O37" s="458"/>
      <c r="P37" s="60"/>
      <c r="Q37" s="21"/>
      <c r="R37" s="21"/>
      <c r="S37" s="18"/>
      <c r="T37" s="18"/>
      <c r="U37" s="18"/>
      <c r="V37" s="18"/>
    </row>
    <row r="38" spans="1:22" ht="19.5" customHeight="1" thickBot="1">
      <c r="A38" s="458"/>
      <c r="B38" s="458"/>
      <c r="C38" s="458"/>
      <c r="D38" s="458"/>
      <c r="E38" s="458"/>
      <c r="F38" s="458"/>
      <c r="G38" s="458"/>
      <c r="H38" s="458"/>
      <c r="I38" s="458"/>
      <c r="J38" s="458"/>
      <c r="K38" s="458"/>
      <c r="L38" s="458"/>
      <c r="M38" s="458"/>
      <c r="N38" s="458"/>
      <c r="O38" s="458"/>
      <c r="P38" s="60"/>
      <c r="Q38" s="21"/>
      <c r="R38" s="21"/>
      <c r="S38" s="18"/>
      <c r="T38" s="18"/>
      <c r="U38" s="18"/>
      <c r="V38" s="18"/>
    </row>
    <row r="39" spans="1:22" ht="19.5" customHeight="1" thickBot="1">
      <c r="A39" s="75"/>
      <c r="B39" s="308" t="s">
        <v>114</v>
      </c>
      <c r="C39" s="73" t="s">
        <v>1259</v>
      </c>
      <c r="D39" s="305"/>
      <c r="E39" s="339" t="s">
        <v>114</v>
      </c>
      <c r="F39" s="73" t="s">
        <v>1260</v>
      </c>
      <c r="G39" s="75"/>
      <c r="H39" s="308" t="s">
        <v>114</v>
      </c>
      <c r="I39" s="73" t="s">
        <v>1261</v>
      </c>
      <c r="J39" s="305"/>
      <c r="K39" s="308" t="s">
        <v>114</v>
      </c>
      <c r="L39" s="306" t="s">
        <v>1262</v>
      </c>
      <c r="M39" s="458"/>
      <c r="N39" s="308" t="s">
        <v>114</v>
      </c>
      <c r="O39" s="73" t="s">
        <v>1263</v>
      </c>
      <c r="P39" s="60"/>
      <c r="Q39" s="21"/>
      <c r="R39" s="21"/>
      <c r="S39" s="18"/>
      <c r="T39" s="18"/>
      <c r="U39" s="18"/>
      <c r="V39" s="18"/>
    </row>
    <row r="40" spans="1:22" ht="19.5" customHeight="1" thickBot="1">
      <c r="A40" s="75"/>
      <c r="B40" s="309"/>
      <c r="C40" s="73" t="str">
        <f>IF('Setup Bm Input'!$F$51="Net","Net El.","Gross El.")</f>
        <v>Gross El.</v>
      </c>
      <c r="D40" s="305"/>
      <c r="E40" s="340"/>
      <c r="F40" s="73" t="str">
        <f>IF('Setup Bm Input'!$F$51="Net","Net El.","Gross El.")</f>
        <v>Gross El.</v>
      </c>
      <c r="G40" s="75"/>
      <c r="H40" s="309"/>
      <c r="I40" s="73" t="str">
        <f>IF('Setup Bm Input'!$F$51="Net","Net El.","Gross El.")</f>
        <v>Gross El.</v>
      </c>
      <c r="J40" s="307"/>
      <c r="K40" s="309"/>
      <c r="L40" s="73" t="str">
        <f>IF('Setup Bm Input'!$F$51="Net","Net El.","Gross El.")</f>
        <v>Gross El.</v>
      </c>
      <c r="M40" s="458"/>
      <c r="N40" s="309"/>
      <c r="O40" s="73" t="str">
        <f>IF('Setup Bm Input'!$F$51="Net","Net El.","Gross El.")</f>
        <v>Gross El.</v>
      </c>
      <c r="P40" s="60"/>
      <c r="Q40" s="21"/>
      <c r="R40" s="21"/>
      <c r="S40" s="18"/>
      <c r="T40" s="18"/>
      <c r="U40" s="18"/>
      <c r="V40" s="18"/>
    </row>
    <row r="41" spans="1:22" ht="19.5" customHeight="1" thickBot="1">
      <c r="A41" s="72">
        <f>IF(B41="","",1)</f>
      </c>
      <c r="B41" s="688"/>
      <c r="C41" s="70"/>
      <c r="D41" s="301">
        <f>IF(E41="","",1)</f>
      </c>
      <c r="E41" s="699"/>
      <c r="F41" s="70"/>
      <c r="G41" s="76">
        <f>IF(H41="","",1)</f>
      </c>
      <c r="H41" s="688"/>
      <c r="I41" s="70"/>
      <c r="J41" s="76">
        <f>IF(K41="","",1)</f>
      </c>
      <c r="K41" s="688"/>
      <c r="L41" s="136"/>
      <c r="M41" s="76">
        <f>IF(N41="","",1)</f>
      </c>
      <c r="N41" s="688"/>
      <c r="O41" s="136"/>
      <c r="P41" s="60"/>
      <c r="Q41" s="21"/>
      <c r="R41" s="21"/>
      <c r="S41" s="18"/>
      <c r="T41" s="18"/>
      <c r="U41" s="18"/>
      <c r="V41" s="18"/>
    </row>
    <row r="42" spans="1:22" ht="19.5" customHeight="1" thickBot="1">
      <c r="A42" s="72">
        <f>IF(B42="","",A41+1)</f>
      </c>
      <c r="B42" s="688"/>
      <c r="C42" s="70"/>
      <c r="D42" s="301">
        <f aca="true" t="shared" si="0" ref="D42:D58">IF(E42="","",D41+1)</f>
      </c>
      <c r="E42" s="699"/>
      <c r="F42" s="70"/>
      <c r="G42" s="76">
        <f>IF(H42="","",G41+1)</f>
      </c>
      <c r="H42" s="688"/>
      <c r="I42" s="70"/>
      <c r="J42" s="76">
        <f>IF(K42="","",J41+1)</f>
      </c>
      <c r="K42" s="688"/>
      <c r="L42" s="136"/>
      <c r="M42" s="76">
        <f aca="true" t="shared" si="1" ref="M42:M48">IF(N42="","",M41+1)</f>
      </c>
      <c r="N42" s="688"/>
      <c r="O42" s="136"/>
      <c r="P42" s="60"/>
      <c r="Q42" s="21"/>
      <c r="R42" s="21"/>
      <c r="S42" s="18"/>
      <c r="T42" s="18"/>
      <c r="U42" s="18"/>
      <c r="V42" s="18"/>
    </row>
    <row r="43" spans="1:22" ht="19.5" customHeight="1" thickBot="1">
      <c r="A43" s="72">
        <f aca="true" t="shared" si="2" ref="A43:A58">IF(B43="","",A42+1)</f>
      </c>
      <c r="B43" s="688"/>
      <c r="C43" s="70"/>
      <c r="D43" s="301">
        <f t="shared" si="0"/>
      </c>
      <c r="E43" s="699"/>
      <c r="F43" s="70"/>
      <c r="G43" s="76">
        <f aca="true" t="shared" si="3" ref="G43:G56">IF(H43="","",G42+1)</f>
      </c>
      <c r="H43" s="688"/>
      <c r="I43" s="70"/>
      <c r="J43" s="76">
        <f>IF(K43="","",J42+1)</f>
      </c>
      <c r="K43" s="688"/>
      <c r="L43" s="136"/>
      <c r="M43" s="76">
        <f t="shared" si="1"/>
      </c>
      <c r="N43" s="688"/>
      <c r="O43" s="136"/>
      <c r="P43" s="60"/>
      <c r="Q43" s="21"/>
      <c r="R43" s="21"/>
      <c r="S43" s="18"/>
      <c r="T43" s="18"/>
      <c r="U43" s="18"/>
      <c r="V43" s="18"/>
    </row>
    <row r="44" spans="1:22" ht="19.5" customHeight="1" thickBot="1">
      <c r="A44" s="72">
        <f t="shared" si="2"/>
      </c>
      <c r="B44" s="688"/>
      <c r="C44" s="70"/>
      <c r="D44" s="301">
        <f t="shared" si="0"/>
      </c>
      <c r="E44" s="699"/>
      <c r="F44" s="70"/>
      <c r="G44" s="76">
        <f t="shared" si="3"/>
      </c>
      <c r="H44" s="688"/>
      <c r="I44" s="70"/>
      <c r="J44" s="76">
        <f>IF(K44="","",J43+1)</f>
      </c>
      <c r="K44" s="688"/>
      <c r="L44" s="136"/>
      <c r="M44" s="76">
        <f t="shared" si="1"/>
      </c>
      <c r="N44" s="688"/>
      <c r="O44" s="136"/>
      <c r="P44" s="60"/>
      <c r="Q44" s="21"/>
      <c r="R44" s="21"/>
      <c r="S44" s="18"/>
      <c r="T44" s="18"/>
      <c r="U44" s="18"/>
      <c r="V44" s="18"/>
    </row>
    <row r="45" spans="1:22" ht="19.5" customHeight="1" thickBot="1">
      <c r="A45" s="72">
        <f t="shared" si="2"/>
      </c>
      <c r="B45" s="688"/>
      <c r="C45" s="70"/>
      <c r="D45" s="301">
        <f t="shared" si="0"/>
      </c>
      <c r="E45" s="699"/>
      <c r="F45" s="70"/>
      <c r="G45" s="76">
        <f t="shared" si="3"/>
      </c>
      <c r="H45" s="688"/>
      <c r="I45" s="70"/>
      <c r="J45" s="76">
        <f>IF(K45="","",J44+1)</f>
      </c>
      <c r="K45" s="688"/>
      <c r="L45" s="136"/>
      <c r="M45" s="76">
        <f t="shared" si="1"/>
      </c>
      <c r="N45" s="688"/>
      <c r="O45" s="136"/>
      <c r="P45" s="60"/>
      <c r="Q45" s="21"/>
      <c r="R45" s="21"/>
      <c r="S45" s="18"/>
      <c r="T45" s="18"/>
      <c r="U45" s="18"/>
      <c r="V45" s="18"/>
    </row>
    <row r="46" spans="1:22" ht="19.5" customHeight="1" thickBot="1">
      <c r="A46" s="72">
        <f t="shared" si="2"/>
      </c>
      <c r="B46" s="688"/>
      <c r="C46" s="70"/>
      <c r="D46" s="301">
        <f t="shared" si="0"/>
      </c>
      <c r="E46" s="699"/>
      <c r="F46" s="70"/>
      <c r="G46" s="76">
        <f t="shared" si="3"/>
      </c>
      <c r="H46" s="688"/>
      <c r="I46" s="70"/>
      <c r="J46" s="76">
        <f>IF(K46="","",J45+1)</f>
      </c>
      <c r="K46" s="688"/>
      <c r="L46" s="136"/>
      <c r="M46" s="76">
        <f t="shared" si="1"/>
      </c>
      <c r="N46" s="688"/>
      <c r="O46" s="136"/>
      <c r="P46" s="60"/>
      <c r="Q46" s="21"/>
      <c r="R46" s="21"/>
      <c r="S46" s="18"/>
      <c r="T46" s="18"/>
      <c r="U46" s="18"/>
      <c r="V46" s="18"/>
    </row>
    <row r="47" spans="1:22" ht="19.5" customHeight="1" thickBot="1">
      <c r="A47" s="72">
        <f t="shared" si="2"/>
      </c>
      <c r="B47" s="688"/>
      <c r="C47" s="70"/>
      <c r="D47" s="301">
        <f t="shared" si="0"/>
      </c>
      <c r="E47" s="699"/>
      <c r="F47" s="70"/>
      <c r="G47" s="76">
        <f t="shared" si="3"/>
      </c>
      <c r="H47" s="688"/>
      <c r="I47" s="70"/>
      <c r="J47" s="76">
        <f aca="true" t="shared" si="4" ref="J47:J52">IF(K47="","",J46+1)</f>
      </c>
      <c r="K47" s="688"/>
      <c r="L47" s="136"/>
      <c r="M47" s="76">
        <f t="shared" si="1"/>
      </c>
      <c r="N47" s="688"/>
      <c r="O47" s="136"/>
      <c r="P47" s="60"/>
      <c r="Q47" s="21"/>
      <c r="R47" s="21"/>
      <c r="S47" s="18"/>
      <c r="T47" s="18"/>
      <c r="U47" s="18"/>
      <c r="V47" s="18"/>
    </row>
    <row r="48" spans="1:22" ht="19.5" customHeight="1" thickBot="1">
      <c r="A48" s="72">
        <f t="shared" si="2"/>
      </c>
      <c r="B48" s="688"/>
      <c r="C48" s="70"/>
      <c r="D48" s="301">
        <f t="shared" si="0"/>
      </c>
      <c r="E48" s="699"/>
      <c r="F48" s="70"/>
      <c r="G48" s="76">
        <f t="shared" si="3"/>
      </c>
      <c r="H48" s="688"/>
      <c r="I48" s="70"/>
      <c r="J48" s="76">
        <f t="shared" si="4"/>
      </c>
      <c r="K48" s="688"/>
      <c r="L48" s="136"/>
      <c r="M48" s="76">
        <f t="shared" si="1"/>
      </c>
      <c r="N48" s="688"/>
      <c r="O48" s="136"/>
      <c r="P48" s="60"/>
      <c r="Q48" s="21"/>
      <c r="R48" s="21"/>
      <c r="S48" s="18"/>
      <c r="T48" s="18"/>
      <c r="U48" s="18"/>
      <c r="V48" s="18"/>
    </row>
    <row r="49" spans="1:22" ht="19.5" customHeight="1" thickBot="1">
      <c r="A49" s="72">
        <f t="shared" si="2"/>
      </c>
      <c r="B49" s="688"/>
      <c r="C49" s="70"/>
      <c r="D49" s="301">
        <f t="shared" si="0"/>
      </c>
      <c r="E49" s="699"/>
      <c r="F49" s="70"/>
      <c r="G49" s="76">
        <f t="shared" si="3"/>
      </c>
      <c r="H49" s="688"/>
      <c r="I49" s="70"/>
      <c r="J49" s="76">
        <f t="shared" si="4"/>
      </c>
      <c r="K49" s="688"/>
      <c r="L49" s="136"/>
      <c r="M49" s="458"/>
      <c r="N49" s="458"/>
      <c r="O49" s="458"/>
      <c r="P49" s="60"/>
      <c r="Q49" s="21"/>
      <c r="R49" s="21"/>
      <c r="S49" s="18"/>
      <c r="T49" s="18"/>
      <c r="U49" s="18"/>
      <c r="V49" s="18"/>
    </row>
    <row r="50" spans="1:22" ht="19.5" customHeight="1" thickBot="1">
      <c r="A50" s="72">
        <f t="shared" si="2"/>
      </c>
      <c r="B50" s="688"/>
      <c r="C50" s="70"/>
      <c r="D50" s="301">
        <f t="shared" si="0"/>
      </c>
      <c r="E50" s="699"/>
      <c r="F50" s="70"/>
      <c r="G50" s="76">
        <f t="shared" si="3"/>
      </c>
      <c r="H50" s="688"/>
      <c r="I50" s="70"/>
      <c r="J50" s="76">
        <f t="shared" si="4"/>
      </c>
      <c r="K50" s="688"/>
      <c r="L50" s="136"/>
      <c r="M50" s="458"/>
      <c r="P50" s="60"/>
      <c r="Q50" s="21"/>
      <c r="R50" s="21"/>
      <c r="S50" s="18"/>
      <c r="T50" s="18"/>
      <c r="U50" s="18"/>
      <c r="V50" s="18"/>
    </row>
    <row r="51" spans="1:22" ht="19.5" customHeight="1" thickBot="1">
      <c r="A51" s="72">
        <f t="shared" si="2"/>
      </c>
      <c r="B51" s="688"/>
      <c r="C51" s="70"/>
      <c r="D51" s="301">
        <f t="shared" si="0"/>
      </c>
      <c r="E51" s="699"/>
      <c r="F51" s="70"/>
      <c r="G51" s="76">
        <f t="shared" si="3"/>
      </c>
      <c r="H51" s="688"/>
      <c r="I51" s="70"/>
      <c r="J51" s="76">
        <f t="shared" si="4"/>
      </c>
      <c r="K51" s="688"/>
      <c r="L51" s="136"/>
      <c r="M51" s="458"/>
      <c r="P51" s="60"/>
      <c r="Q51" s="21"/>
      <c r="R51" s="21"/>
      <c r="S51" s="18"/>
      <c r="T51" s="18"/>
      <c r="U51" s="18"/>
      <c r="V51" s="18"/>
    </row>
    <row r="52" spans="1:22" ht="19.5" customHeight="1" thickBot="1">
      <c r="A52" s="72">
        <f t="shared" si="2"/>
      </c>
      <c r="B52" s="688"/>
      <c r="C52" s="304"/>
      <c r="D52" s="301">
        <f t="shared" si="0"/>
      </c>
      <c r="E52" s="699"/>
      <c r="F52" s="304"/>
      <c r="G52" s="76">
        <f t="shared" si="3"/>
      </c>
      <c r="H52" s="688"/>
      <c r="I52" s="70"/>
      <c r="J52" s="76">
        <f t="shared" si="4"/>
      </c>
      <c r="K52" s="688"/>
      <c r="L52" s="136"/>
      <c r="M52" s="76"/>
      <c r="P52" s="60"/>
      <c r="Q52" s="21"/>
      <c r="R52" s="21"/>
      <c r="S52" s="18"/>
      <c r="T52" s="18"/>
      <c r="U52" s="18"/>
      <c r="V52" s="18"/>
    </row>
    <row r="53" spans="1:22" ht="19.5" customHeight="1" thickBot="1">
      <c r="A53" s="72">
        <f t="shared" si="2"/>
      </c>
      <c r="B53" s="688"/>
      <c r="C53" s="304"/>
      <c r="D53" s="301">
        <f t="shared" si="0"/>
      </c>
      <c r="E53" s="699"/>
      <c r="F53" s="304"/>
      <c r="G53" s="76">
        <f t="shared" si="3"/>
      </c>
      <c r="H53" s="688"/>
      <c r="I53" s="70"/>
      <c r="M53" s="76"/>
      <c r="P53" s="60"/>
      <c r="Q53" s="21"/>
      <c r="R53" s="21"/>
      <c r="S53" s="18"/>
      <c r="T53" s="18"/>
      <c r="U53" s="18"/>
      <c r="V53" s="18"/>
    </row>
    <row r="54" spans="1:22" ht="19.5" customHeight="1" thickBot="1">
      <c r="A54" s="72">
        <f t="shared" si="2"/>
      </c>
      <c r="B54" s="688"/>
      <c r="C54" s="304"/>
      <c r="D54" s="301">
        <f t="shared" si="0"/>
      </c>
      <c r="E54" s="699"/>
      <c r="F54" s="304"/>
      <c r="G54" s="76">
        <f t="shared" si="3"/>
      </c>
      <c r="H54" s="688"/>
      <c r="I54" s="70"/>
      <c r="P54" s="60"/>
      <c r="Q54" s="21"/>
      <c r="R54" s="21"/>
      <c r="S54" s="18"/>
      <c r="T54" s="18"/>
      <c r="U54" s="18"/>
      <c r="V54" s="18"/>
    </row>
    <row r="55" spans="1:22" ht="19.5" customHeight="1" thickBot="1">
      <c r="A55" s="72">
        <f t="shared" si="2"/>
      </c>
      <c r="B55" s="688"/>
      <c r="C55" s="304"/>
      <c r="D55" s="301">
        <f t="shared" si="0"/>
      </c>
      <c r="E55" s="699"/>
      <c r="F55" s="304"/>
      <c r="G55" s="76">
        <f t="shared" si="3"/>
      </c>
      <c r="H55" s="688"/>
      <c r="I55" s="70"/>
      <c r="P55" s="60"/>
      <c r="Q55" s="21"/>
      <c r="R55" s="21"/>
      <c r="S55" s="18"/>
      <c r="T55" s="18"/>
      <c r="U55" s="18"/>
      <c r="V55" s="18"/>
    </row>
    <row r="56" spans="1:22" s="7" customFormat="1" ht="19.5" customHeight="1" thickBot="1">
      <c r="A56" s="72">
        <f t="shared" si="2"/>
      </c>
      <c r="B56" s="688"/>
      <c r="C56" s="304"/>
      <c r="D56" s="301">
        <f t="shared" si="0"/>
      </c>
      <c r="E56" s="699"/>
      <c r="F56" s="304"/>
      <c r="G56" s="76">
        <f t="shared" si="3"/>
      </c>
      <c r="H56" s="688"/>
      <c r="I56" s="70"/>
      <c r="P56" s="60"/>
      <c r="Q56" s="21"/>
      <c r="R56" s="21"/>
      <c r="S56" s="21"/>
      <c r="T56" s="21"/>
      <c r="U56" s="21"/>
      <c r="V56" s="21"/>
    </row>
    <row r="57" spans="1:22" s="7" customFormat="1" ht="19.5" customHeight="1" thickBot="1">
      <c r="A57" s="72">
        <f t="shared" si="2"/>
      </c>
      <c r="B57" s="688"/>
      <c r="C57" s="304"/>
      <c r="D57" s="301">
        <f t="shared" si="0"/>
      </c>
      <c r="E57" s="699"/>
      <c r="F57" s="304"/>
      <c r="P57" s="60"/>
      <c r="Q57" s="21"/>
      <c r="R57" s="21"/>
      <c r="S57" s="21"/>
      <c r="T57" s="21"/>
      <c r="U57" s="21"/>
      <c r="V57" s="21"/>
    </row>
    <row r="58" spans="1:22" s="7" customFormat="1" ht="19.5" customHeight="1" thickBot="1">
      <c r="A58" s="72">
        <f t="shared" si="2"/>
      </c>
      <c r="B58" s="688"/>
      <c r="C58" s="304"/>
      <c r="D58" s="301">
        <f t="shared" si="0"/>
      </c>
      <c r="E58" s="699"/>
      <c r="F58" s="304"/>
      <c r="P58" s="60"/>
      <c r="Q58" s="21"/>
      <c r="R58" s="21"/>
      <c r="S58" s="21"/>
      <c r="T58" s="21"/>
      <c r="U58" s="21"/>
      <c r="V58" s="21"/>
    </row>
    <row r="59" spans="1:22" s="7" customFormat="1" ht="19.5" customHeight="1" thickBot="1">
      <c r="A59" s="793"/>
      <c r="B59" s="793"/>
      <c r="C59" s="305"/>
      <c r="D59" s="305"/>
      <c r="E59" s="301"/>
      <c r="F59" s="793"/>
      <c r="G59" s="458"/>
      <c r="H59" s="308" t="s">
        <v>114</v>
      </c>
      <c r="I59" s="73" t="s">
        <v>1264</v>
      </c>
      <c r="J59" s="305"/>
      <c r="K59" s="308" t="s">
        <v>114</v>
      </c>
      <c r="L59" s="306" t="s">
        <v>1265</v>
      </c>
      <c r="M59" s="458"/>
      <c r="N59" s="308" t="s">
        <v>114</v>
      </c>
      <c r="O59" s="73" t="s">
        <v>1266</v>
      </c>
      <c r="P59" s="60"/>
      <c r="Q59" s="21"/>
      <c r="R59" s="21"/>
      <c r="S59" s="21"/>
      <c r="T59" s="21"/>
      <c r="U59" s="21"/>
      <c r="V59" s="21"/>
    </row>
    <row r="60" spans="1:22" s="7" customFormat="1" ht="19.5" customHeight="1" thickBot="1">
      <c r="A60" s="793"/>
      <c r="B60" s="323" t="s">
        <v>742</v>
      </c>
      <c r="C60" s="305"/>
      <c r="D60" s="305"/>
      <c r="E60" s="301"/>
      <c r="F60" s="793"/>
      <c r="G60" s="458"/>
      <c r="H60" s="309"/>
      <c r="I60" s="73" t="str">
        <f>IF('Setup Bm Input'!$F$51="Net","Net El.","Gross El.")</f>
        <v>Gross El.</v>
      </c>
      <c r="J60" s="305"/>
      <c r="K60" s="309"/>
      <c r="L60" s="73" t="str">
        <f>IF('Setup Bm Input'!$F$51="Net","Net El.","Gross El.")</f>
        <v>Gross El.</v>
      </c>
      <c r="M60" s="458"/>
      <c r="N60" s="309"/>
      <c r="O60" s="73" t="str">
        <f>IF('Setup Bm Input'!$F$51="Net","Net El.","Gross El.")</f>
        <v>Gross El.</v>
      </c>
      <c r="P60" s="60"/>
      <c r="Q60" s="21"/>
      <c r="R60" s="21"/>
      <c r="S60" s="21"/>
      <c r="T60" s="21"/>
      <c r="U60" s="21"/>
      <c r="V60" s="21"/>
    </row>
    <row r="61" spans="1:22" s="7" customFormat="1" ht="19.5" customHeight="1" thickBot="1">
      <c r="A61" s="793"/>
      <c r="C61" s="305"/>
      <c r="D61" s="305"/>
      <c r="E61" s="301"/>
      <c r="F61" s="793"/>
      <c r="G61" s="76">
        <f>IF(H61="","",1)</f>
      </c>
      <c r="H61" s="688"/>
      <c r="I61" s="70"/>
      <c r="J61" s="76">
        <f>IF(K61="","",1)</f>
      </c>
      <c r="K61" s="688"/>
      <c r="L61" s="136"/>
      <c r="M61" s="76">
        <f>IF(N61="","",1)</f>
      </c>
      <c r="N61" s="688"/>
      <c r="O61" s="136"/>
      <c r="P61" s="60"/>
      <c r="Q61" s="21"/>
      <c r="R61" s="21"/>
      <c r="S61" s="21"/>
      <c r="T61" s="21"/>
      <c r="U61" s="21"/>
      <c r="V61" s="21"/>
    </row>
    <row r="62" spans="1:22" s="7" customFormat="1" ht="19.5" customHeight="1" thickBot="1">
      <c r="A62" s="793"/>
      <c r="B62" s="793"/>
      <c r="C62" s="305"/>
      <c r="D62" s="305"/>
      <c r="E62" s="301"/>
      <c r="F62" s="793"/>
      <c r="G62" s="76">
        <f>IF(H62="","",G61+1)</f>
      </c>
      <c r="H62" s="688"/>
      <c r="I62" s="70"/>
      <c r="J62" s="76">
        <f>IF(K62="","",J61+1)</f>
      </c>
      <c r="K62" s="688"/>
      <c r="L62" s="136"/>
      <c r="M62" s="76">
        <f>IF(N62="","",M61+1)</f>
      </c>
      <c r="N62" s="688"/>
      <c r="O62" s="136"/>
      <c r="P62" s="60"/>
      <c r="Q62" s="21"/>
      <c r="R62" s="21"/>
      <c r="S62" s="21"/>
      <c r="T62" s="21"/>
      <c r="U62" s="21"/>
      <c r="V62" s="21"/>
    </row>
    <row r="63" spans="1:22" s="7" customFormat="1" ht="19.5" customHeight="1" thickBot="1">
      <c r="A63" s="793"/>
      <c r="B63" s="793"/>
      <c r="C63" s="305"/>
      <c r="D63" s="305"/>
      <c r="E63" s="301"/>
      <c r="F63" s="793"/>
      <c r="G63" s="76">
        <f>IF(H63="","",G62+1)</f>
      </c>
      <c r="H63" s="688"/>
      <c r="I63" s="70"/>
      <c r="J63" s="76">
        <f>IF(K63="","",J62+1)</f>
      </c>
      <c r="K63" s="688"/>
      <c r="L63" s="136"/>
      <c r="M63" s="793"/>
      <c r="N63" s="793"/>
      <c r="O63" s="793"/>
      <c r="P63" s="60"/>
      <c r="Q63" s="21"/>
      <c r="R63" s="21"/>
      <c r="S63" s="21"/>
      <c r="T63" s="21"/>
      <c r="U63" s="21"/>
      <c r="V63" s="21"/>
    </row>
    <row r="64" spans="1:22" s="7" customFormat="1" ht="19.5" customHeight="1" thickBot="1">
      <c r="A64" s="793"/>
      <c r="B64" s="793"/>
      <c r="C64" s="305"/>
      <c r="D64" s="305"/>
      <c r="E64" s="301"/>
      <c r="F64" s="793"/>
      <c r="G64" s="76">
        <f>IF(H64="","",G63+1)</f>
      </c>
      <c r="H64" s="688"/>
      <c r="I64" s="70"/>
      <c r="J64" s="76">
        <f>IF(K64="","",J63+1)</f>
      </c>
      <c r="K64" s="688"/>
      <c r="L64" s="136"/>
      <c r="M64" s="793"/>
      <c r="N64" s="793"/>
      <c r="O64" s="793"/>
      <c r="P64" s="60"/>
      <c r="Q64" s="21"/>
      <c r="R64" s="21"/>
      <c r="S64" s="21"/>
      <c r="T64" s="21"/>
      <c r="U64" s="21"/>
      <c r="V64" s="21"/>
    </row>
    <row r="65" spans="1:22" s="7" customFormat="1" ht="19.5" customHeight="1" thickBot="1">
      <c r="A65" s="793"/>
      <c r="B65" s="793"/>
      <c r="C65" s="305"/>
      <c r="D65" s="305"/>
      <c r="E65" s="301"/>
      <c r="F65" s="793"/>
      <c r="G65" s="76">
        <f>IF(H65="","",G64+1)</f>
      </c>
      <c r="H65" s="688"/>
      <c r="I65" s="70"/>
      <c r="J65" s="793"/>
      <c r="K65" s="967"/>
      <c r="L65" s="311"/>
      <c r="M65" s="793"/>
      <c r="N65" s="793"/>
      <c r="O65" s="793"/>
      <c r="P65" s="60"/>
      <c r="Q65" s="21"/>
      <c r="R65" s="21"/>
      <c r="S65" s="21"/>
      <c r="T65" s="21"/>
      <c r="U65" s="21"/>
      <c r="V65" s="21"/>
    </row>
    <row r="66" spans="1:22" s="7" customFormat="1" ht="19.5" customHeight="1" thickBot="1">
      <c r="A66" s="793"/>
      <c r="C66" s="305"/>
      <c r="D66" s="305"/>
      <c r="E66" s="301"/>
      <c r="F66" s="793"/>
      <c r="G66" s="76">
        <f>IF(H66="","",G65+1)</f>
      </c>
      <c r="H66" s="688"/>
      <c r="I66" s="70"/>
      <c r="J66" s="793"/>
      <c r="K66" s="967"/>
      <c r="L66" s="311"/>
      <c r="M66" s="793"/>
      <c r="N66" s="793"/>
      <c r="O66" s="793"/>
      <c r="P66" s="60"/>
      <c r="Q66" s="21"/>
      <c r="R66" s="21"/>
      <c r="S66" s="21"/>
      <c r="T66" s="21"/>
      <c r="U66" s="21"/>
      <c r="V66" s="21"/>
    </row>
    <row r="67" spans="1:22" s="7" customFormat="1" ht="19.5" customHeight="1">
      <c r="A67" s="793"/>
      <c r="B67" s="793"/>
      <c r="C67" s="305"/>
      <c r="D67" s="305"/>
      <c r="E67" s="301"/>
      <c r="F67" s="793"/>
      <c r="P67" s="60"/>
      <c r="Q67" s="21"/>
      <c r="R67" s="21"/>
      <c r="S67" s="21"/>
      <c r="T67" s="21"/>
      <c r="U67" s="21"/>
      <c r="V67" s="21"/>
    </row>
    <row r="68" spans="1:22" ht="19.5" customHeight="1">
      <c r="A68" s="458"/>
      <c r="B68" s="458"/>
      <c r="C68" s="458"/>
      <c r="D68" s="678" t="s">
        <v>1267</v>
      </c>
      <c r="E68" s="458"/>
      <c r="F68" s="458"/>
      <c r="J68" s="458"/>
      <c r="K68" s="679"/>
      <c r="L68" s="678" t="s">
        <v>1267</v>
      </c>
      <c r="M68" s="458"/>
      <c r="N68" s="458"/>
      <c r="O68" s="458"/>
      <c r="P68" s="60"/>
      <c r="Q68" s="21"/>
      <c r="R68" s="21"/>
      <c r="S68" s="18"/>
      <c r="T68" s="18"/>
      <c r="U68" s="18"/>
      <c r="V68" s="18"/>
    </row>
    <row r="69" spans="1:22" ht="19.5" customHeight="1" thickBot="1">
      <c r="A69" s="458"/>
      <c r="B69" s="458"/>
      <c r="C69" s="458"/>
      <c r="D69" s="458"/>
      <c r="E69" s="458"/>
      <c r="F69" s="458"/>
      <c r="G69" s="458"/>
      <c r="H69" s="458"/>
      <c r="I69" s="458"/>
      <c r="J69" s="458"/>
      <c r="K69" s="458"/>
      <c r="L69" s="458"/>
      <c r="M69" s="458"/>
      <c r="N69" s="458"/>
      <c r="O69" s="458"/>
      <c r="P69" s="60"/>
      <c r="Q69" s="21"/>
      <c r="R69" s="21"/>
      <c r="S69" s="18"/>
      <c r="T69" s="18"/>
      <c r="U69" s="18"/>
      <c r="V69" s="18"/>
    </row>
    <row r="70" spans="1:22" ht="19.5" customHeight="1" thickBot="1">
      <c r="A70" s="458"/>
      <c r="B70" s="308" t="s">
        <v>114</v>
      </c>
      <c r="C70" s="73" t="s">
        <v>744</v>
      </c>
      <c r="D70" s="305"/>
      <c r="E70" s="308" t="s">
        <v>114</v>
      </c>
      <c r="F70" s="306" t="s">
        <v>745</v>
      </c>
      <c r="G70" s="458"/>
      <c r="H70" s="308" t="s">
        <v>114</v>
      </c>
      <c r="I70" s="73" t="s">
        <v>746</v>
      </c>
      <c r="J70" s="458"/>
      <c r="K70" s="308" t="s">
        <v>114</v>
      </c>
      <c r="L70" s="73" t="s">
        <v>747</v>
      </c>
      <c r="M70" s="75"/>
      <c r="N70" s="308" t="s">
        <v>114</v>
      </c>
      <c r="O70" s="73" t="s">
        <v>748</v>
      </c>
      <c r="P70" s="60"/>
      <c r="Q70" s="21"/>
      <c r="R70" s="21"/>
      <c r="S70" s="18"/>
      <c r="T70" s="18"/>
      <c r="U70" s="18"/>
      <c r="V70" s="18"/>
    </row>
    <row r="71" spans="1:22" ht="19.5" customHeight="1" thickBot="1">
      <c r="A71" s="458"/>
      <c r="B71" s="309"/>
      <c r="C71" s="73" t="str">
        <f>IF('Setup Bm Input'!$F$51="Net","Net El.","Gross El.")</f>
        <v>Gross El.</v>
      </c>
      <c r="D71" s="305"/>
      <c r="E71" s="309"/>
      <c r="F71" s="73" t="str">
        <f>IF('Setup Bm Input'!$F$51="Net","Net El.","Gross El.")</f>
        <v>Gross El.</v>
      </c>
      <c r="G71" s="458"/>
      <c r="H71" s="309"/>
      <c r="I71" s="73" t="str">
        <f>IF('Setup Bm Input'!$F$51="Net","Net El.","Gross El.")</f>
        <v>Gross El.</v>
      </c>
      <c r="J71" s="458"/>
      <c r="K71" s="309"/>
      <c r="L71" s="73" t="str">
        <f>IF('Setup Bm Input'!$F$51="Net","Net El.","Gross El.")</f>
        <v>Gross El.</v>
      </c>
      <c r="M71" s="75"/>
      <c r="N71" s="309"/>
      <c r="O71" s="73" t="str">
        <f>IF('Setup Bm Input'!$F$51="Net","Net El.","Gross El.")</f>
        <v>Gross El.</v>
      </c>
      <c r="P71" s="60"/>
      <c r="Q71" s="21"/>
      <c r="R71" s="21"/>
      <c r="S71" s="18"/>
      <c r="T71" s="18"/>
      <c r="U71" s="18"/>
      <c r="V71" s="18"/>
    </row>
    <row r="72" spans="1:22" ht="19.5" customHeight="1" thickBot="1">
      <c r="A72" s="76">
        <f>IF(B72="","",1)</f>
      </c>
      <c r="B72" s="688"/>
      <c r="C72" s="70"/>
      <c r="D72" s="76">
        <f>IF(E72="","",1)</f>
      </c>
      <c r="E72" s="688"/>
      <c r="F72" s="136"/>
      <c r="G72" s="76">
        <f>IF(H72="","",1)</f>
      </c>
      <c r="H72" s="688"/>
      <c r="I72" s="136"/>
      <c r="J72" s="76">
        <f>IF(K72="","",1)</f>
      </c>
      <c r="K72" s="688"/>
      <c r="L72" s="136"/>
      <c r="M72" s="76">
        <f>IF(N72="","",1)</f>
      </c>
      <c r="N72" s="688"/>
      <c r="O72" s="70"/>
      <c r="P72" s="60"/>
      <c r="Q72" s="21"/>
      <c r="R72" s="21"/>
      <c r="S72" s="18"/>
      <c r="T72" s="18"/>
      <c r="U72" s="18"/>
      <c r="V72" s="18"/>
    </row>
    <row r="73" spans="1:22" ht="19.5" customHeight="1" thickBot="1">
      <c r="A73" s="76">
        <f>IF(B73="","",A72+1)</f>
      </c>
      <c r="B73" s="688"/>
      <c r="C73" s="70"/>
      <c r="D73" s="76">
        <f>IF(E73="","",D72+1)</f>
      </c>
      <c r="E73" s="688"/>
      <c r="F73" s="136"/>
      <c r="G73" s="76">
        <f>IF(H73="","",G72+1)</f>
      </c>
      <c r="H73" s="688"/>
      <c r="I73" s="136"/>
      <c r="J73" s="76">
        <f>IF(K73="","",J72+1)</f>
      </c>
      <c r="K73" s="688"/>
      <c r="L73" s="136"/>
      <c r="M73" s="76">
        <f>IF(N73="","",M72+1)</f>
      </c>
      <c r="N73" s="688"/>
      <c r="O73" s="70"/>
      <c r="P73" s="60"/>
      <c r="Q73" s="21"/>
      <c r="R73" s="21"/>
      <c r="S73" s="18"/>
      <c r="T73" s="18"/>
      <c r="U73" s="18"/>
      <c r="V73" s="18"/>
    </row>
    <row r="74" spans="1:22" ht="19.5" customHeight="1" thickBot="1">
      <c r="A74" s="458"/>
      <c r="B74" s="458"/>
      <c r="C74" s="458"/>
      <c r="D74" s="458"/>
      <c r="E74" s="458"/>
      <c r="F74" s="458"/>
      <c r="G74" s="458"/>
      <c r="H74" s="458"/>
      <c r="I74" s="458"/>
      <c r="J74" s="458"/>
      <c r="K74" s="458"/>
      <c r="L74" s="458"/>
      <c r="M74" s="458"/>
      <c r="N74" s="458"/>
      <c r="O74" s="458"/>
      <c r="P74" s="60"/>
      <c r="Q74" s="21"/>
      <c r="R74" s="21"/>
      <c r="S74" s="18"/>
      <c r="T74" s="18"/>
      <c r="U74" s="18"/>
      <c r="V74" s="18"/>
    </row>
    <row r="75" spans="1:22" ht="19.5" customHeight="1">
      <c r="A75" s="305"/>
      <c r="B75" s="323" t="s">
        <v>743</v>
      </c>
      <c r="C75" s="305"/>
      <c r="D75" s="305"/>
      <c r="E75" s="305"/>
      <c r="F75" s="305"/>
      <c r="G75" s="305"/>
      <c r="H75" s="305"/>
      <c r="I75" s="305"/>
      <c r="J75" s="305"/>
      <c r="L75" s="935" t="s">
        <v>789</v>
      </c>
      <c r="M75" s="305"/>
      <c r="N75" s="305"/>
      <c r="O75" s="305"/>
      <c r="P75" s="60"/>
      <c r="Q75" s="21"/>
      <c r="R75" s="21"/>
      <c r="S75" s="18"/>
      <c r="T75" s="18"/>
      <c r="U75" s="18"/>
      <c r="V75" s="18"/>
    </row>
    <row r="76" spans="1:22" ht="19.5" customHeight="1">
      <c r="A76" s="305"/>
      <c r="C76" s="305"/>
      <c r="D76" s="305"/>
      <c r="E76" s="305"/>
      <c r="F76" s="305"/>
      <c r="G76" s="305"/>
      <c r="H76" s="305"/>
      <c r="I76" s="305"/>
      <c r="J76" s="305"/>
      <c r="L76" s="936" t="s">
        <v>790</v>
      </c>
      <c r="M76" s="305"/>
      <c r="N76" s="458"/>
      <c r="O76" s="305"/>
      <c r="P76" s="60"/>
      <c r="Q76" s="21"/>
      <c r="R76" s="21"/>
      <c r="S76" s="18"/>
      <c r="T76" s="18"/>
      <c r="U76" s="18"/>
      <c r="V76" s="18"/>
    </row>
    <row r="77" spans="1:22" ht="19.5" customHeight="1">
      <c r="A77" s="76"/>
      <c r="B77" s="76"/>
      <c r="C77" s="76"/>
      <c r="D77" s="76"/>
      <c r="E77" s="76"/>
      <c r="F77" s="76"/>
      <c r="G77" s="672" t="s">
        <v>755</v>
      </c>
      <c r="H77" s="458"/>
      <c r="I77" s="673">
        <f>'Setup Bm Input'!$B$48-'Setup Bm Input'!$B$50</f>
        <v>0</v>
      </c>
      <c r="J77" s="76"/>
      <c r="L77" s="936" t="s">
        <v>791</v>
      </c>
      <c r="M77" s="311"/>
      <c r="N77" s="458"/>
      <c r="O77" s="303"/>
      <c r="P77" s="60"/>
      <c r="Q77" s="21"/>
      <c r="R77" s="21"/>
      <c r="S77" s="18"/>
      <c r="T77" s="18"/>
      <c r="U77" s="18"/>
      <c r="V77" s="18"/>
    </row>
    <row r="78" spans="1:22" ht="19.5" customHeight="1" thickBot="1">
      <c r="A78" s="76"/>
      <c r="B78" s="986"/>
      <c r="C78" s="76"/>
      <c r="D78" s="76"/>
      <c r="E78" s="76"/>
      <c r="F78" s="76"/>
      <c r="G78" s="672" t="s">
        <v>756</v>
      </c>
      <c r="H78" s="458"/>
      <c r="I78" s="673">
        <f>'Setup Bm Input'!$B$50</f>
        <v>0</v>
      </c>
      <c r="J78" s="76"/>
      <c r="L78" s="937" t="s">
        <v>794</v>
      </c>
      <c r="M78" s="311"/>
      <c r="N78" s="458"/>
      <c r="O78" s="303"/>
      <c r="P78" s="60"/>
      <c r="Q78" s="21"/>
      <c r="R78" s="21"/>
      <c r="S78" s="18"/>
      <c r="T78" s="18"/>
      <c r="U78" s="18"/>
      <c r="V78" s="18"/>
    </row>
    <row r="79" spans="1:22" ht="19.5" customHeight="1" thickBot="1">
      <c r="A79" s="76"/>
      <c r="B79" s="510"/>
      <c r="C79" s="510"/>
      <c r="D79" s="510"/>
      <c r="E79" s="510"/>
      <c r="F79" s="305"/>
      <c r="J79" s="123"/>
      <c r="L79" s="940" t="str">
        <f>IF('Setup Bm Input'!B46="","No Input",'Setup Bm Input'!B46)</f>
        <v>No Input</v>
      </c>
      <c r="M79" s="123"/>
      <c r="N79" s="321"/>
      <c r="O79" s="65"/>
      <c r="P79" s="60"/>
      <c r="Q79" s="21"/>
      <c r="R79" s="21"/>
      <c r="S79" s="18"/>
      <c r="T79" s="18"/>
      <c r="U79" s="18"/>
      <c r="V79" s="18"/>
    </row>
    <row r="80" spans="1:22" ht="19.5" customHeight="1">
      <c r="A80" s="76"/>
      <c r="C80" s="458"/>
      <c r="D80" s="305"/>
      <c r="E80" s="305"/>
      <c r="F80" s="305"/>
      <c r="G80" s="680"/>
      <c r="H80" s="680"/>
      <c r="I80" s="680"/>
      <c r="J80" s="510"/>
      <c r="K80" s="458"/>
      <c r="L80" s="458"/>
      <c r="M80" s="458"/>
      <c r="N80" s="458"/>
      <c r="O80" s="458"/>
      <c r="P80" s="60"/>
      <c r="Q80" s="21"/>
      <c r="R80" s="21"/>
      <c r="S80" s="18"/>
      <c r="T80" s="18"/>
      <c r="U80" s="18"/>
      <c r="V80" s="18"/>
    </row>
    <row r="81" spans="1:22" ht="19.5" customHeight="1">
      <c r="A81" s="510"/>
      <c r="B81" s="458"/>
      <c r="C81" s="458"/>
      <c r="D81" s="458"/>
      <c r="E81" s="458"/>
      <c r="F81" s="458"/>
      <c r="G81" s="458"/>
      <c r="H81" s="458"/>
      <c r="I81" s="458"/>
      <c r="J81" s="458"/>
      <c r="K81" s="458"/>
      <c r="L81" s="458"/>
      <c r="M81" s="458"/>
      <c r="N81" s="458"/>
      <c r="O81" s="458"/>
      <c r="P81" s="60"/>
      <c r="Q81" s="21"/>
      <c r="R81" s="21"/>
      <c r="S81" s="18"/>
      <c r="T81" s="18"/>
      <c r="U81" s="18"/>
      <c r="V81" s="18"/>
    </row>
    <row r="82" spans="1:22" ht="19.5" customHeight="1">
      <c r="A82" s="72"/>
      <c r="B82" s="458"/>
      <c r="C82" s="458"/>
      <c r="D82" s="553"/>
      <c r="E82" s="553"/>
      <c r="F82" s="553"/>
      <c r="G82" s="681" t="s">
        <v>686</v>
      </c>
      <c r="H82" s="553"/>
      <c r="I82" s="553"/>
      <c r="J82" s="553"/>
      <c r="K82" s="553"/>
      <c r="L82" s="458"/>
      <c r="M82" s="682"/>
      <c r="N82" s="680"/>
      <c r="O82" s="458"/>
      <c r="P82" s="60"/>
      <c r="Q82" s="21"/>
      <c r="R82" s="21"/>
      <c r="S82" s="18"/>
      <c r="T82" s="18"/>
      <c r="U82" s="18"/>
      <c r="V82" s="18"/>
    </row>
    <row r="83" spans="1:22" ht="19.5" customHeight="1">
      <c r="A83" s="72"/>
      <c r="B83" s="458"/>
      <c r="C83" s="458"/>
      <c r="D83" s="553"/>
      <c r="E83" s="553"/>
      <c r="F83" s="553"/>
      <c r="G83" s="553"/>
      <c r="H83" s="553"/>
      <c r="I83" s="553"/>
      <c r="J83" s="553"/>
      <c r="K83" s="553"/>
      <c r="L83" s="458"/>
      <c r="M83" s="682"/>
      <c r="N83" s="680"/>
      <c r="O83" s="458"/>
      <c r="P83" s="60"/>
      <c r="Q83" s="21"/>
      <c r="R83" s="21"/>
      <c r="S83" s="18"/>
      <c r="T83" s="18"/>
      <c r="U83" s="18"/>
      <c r="V83" s="18"/>
    </row>
    <row r="84" spans="1:22" ht="19.5" customHeight="1">
      <c r="A84" s="458"/>
      <c r="B84" s="458"/>
      <c r="C84" s="458"/>
      <c r="D84" s="683" t="s">
        <v>687</v>
      </c>
      <c r="E84" s="684"/>
      <c r="F84" s="685" t="s">
        <v>688</v>
      </c>
      <c r="G84" s="685"/>
      <c r="H84" s="684"/>
      <c r="I84" s="685" t="s">
        <v>689</v>
      </c>
      <c r="J84" s="685"/>
      <c r="K84" s="686"/>
      <c r="L84" s="458"/>
      <c r="M84" s="458"/>
      <c r="N84" s="458"/>
      <c r="O84" s="458"/>
      <c r="P84" s="60"/>
      <c r="Q84" s="21"/>
      <c r="R84" s="21"/>
      <c r="S84" s="18"/>
      <c r="T84" s="18"/>
      <c r="U84" s="18"/>
      <c r="V84" s="18"/>
    </row>
    <row r="85" spans="1:22" ht="19.5" customHeight="1">
      <c r="A85" s="458"/>
      <c r="B85" s="303"/>
      <c r="C85" s="458"/>
      <c r="D85" s="689"/>
      <c r="E85" s="690"/>
      <c r="F85" s="691"/>
      <c r="G85" s="691"/>
      <c r="H85" s="690"/>
      <c r="I85" s="692"/>
      <c r="J85" s="692"/>
      <c r="K85" s="693"/>
      <c r="L85" s="458"/>
      <c r="M85" s="458"/>
      <c r="N85" s="458"/>
      <c r="O85" s="458"/>
      <c r="P85" s="60"/>
      <c r="Q85" s="21"/>
      <c r="R85" s="21"/>
      <c r="S85" s="18"/>
      <c r="T85" s="18"/>
      <c r="U85" s="18"/>
      <c r="V85" s="18"/>
    </row>
    <row r="86" spans="1:22" ht="19.5" customHeight="1">
      <c r="A86" s="458"/>
      <c r="B86" s="303"/>
      <c r="C86" s="458"/>
      <c r="D86" s="458"/>
      <c r="E86" s="458"/>
      <c r="F86" s="458"/>
      <c r="G86" s="458"/>
      <c r="H86" s="458"/>
      <c r="I86" s="458"/>
      <c r="J86" s="458"/>
      <c r="K86" s="458"/>
      <c r="L86" s="458"/>
      <c r="M86" s="458"/>
      <c r="N86" s="458"/>
      <c r="O86" s="458"/>
      <c r="P86" s="60"/>
      <c r="Q86" s="21"/>
      <c r="R86" s="21"/>
      <c r="S86" s="18"/>
      <c r="T86" s="18"/>
      <c r="U86" s="18"/>
      <c r="V86" s="18"/>
    </row>
    <row r="87" spans="1:22" ht="19.5" customHeight="1">
      <c r="A87" s="458"/>
      <c r="B87" s="458"/>
      <c r="C87" s="458"/>
      <c r="D87" s="75" t="s">
        <v>576</v>
      </c>
      <c r="E87" s="81"/>
      <c r="F87" s="81"/>
      <c r="G87" s="81"/>
      <c r="H87" s="81"/>
      <c r="I87" s="81"/>
      <c r="J87" s="81"/>
      <c r="K87" s="81"/>
      <c r="L87" s="81"/>
      <c r="M87" s="458"/>
      <c r="N87" s="458"/>
      <c r="O87" s="458"/>
      <c r="P87" s="60"/>
      <c r="Q87" s="21"/>
      <c r="R87" s="21"/>
      <c r="S87" s="18"/>
      <c r="T87" s="18"/>
      <c r="U87" s="18"/>
      <c r="V87" s="18"/>
    </row>
    <row r="88" spans="1:22" ht="12.75">
      <c r="A88" s="458"/>
      <c r="B88" s="458"/>
      <c r="C88" s="458"/>
      <c r="D88" s="78"/>
      <c r="E88" s="78"/>
      <c r="F88" s="78"/>
      <c r="G88" s="78"/>
      <c r="H88" s="78"/>
      <c r="I88" s="78"/>
      <c r="J88" s="78"/>
      <c r="K88" s="78"/>
      <c r="L88" s="78"/>
      <c r="M88" s="458"/>
      <c r="N88" s="458"/>
      <c r="O88" s="458"/>
      <c r="P88" s="60"/>
      <c r="Q88" s="21"/>
      <c r="R88" s="21"/>
      <c r="S88" s="18"/>
      <c r="T88" s="18"/>
      <c r="U88" s="18"/>
      <c r="V88" s="18"/>
    </row>
    <row r="89" spans="1:22" ht="12.75">
      <c r="A89" s="458"/>
      <c r="B89" s="458"/>
      <c r="C89" s="458"/>
      <c r="D89" s="81"/>
      <c r="E89" s="81"/>
      <c r="F89" s="81"/>
      <c r="G89" s="81"/>
      <c r="H89" s="81"/>
      <c r="I89" s="81"/>
      <c r="J89" s="81"/>
      <c r="K89" s="81"/>
      <c r="L89" s="81"/>
      <c r="M89" s="458"/>
      <c r="N89" s="458"/>
      <c r="O89" s="458"/>
      <c r="P89" s="60"/>
      <c r="Q89" s="21"/>
      <c r="R89" s="21"/>
      <c r="S89" s="18"/>
      <c r="T89" s="18"/>
      <c r="U89" s="18"/>
      <c r="V89" s="18"/>
    </row>
    <row r="90" spans="1:22" ht="12.75">
      <c r="A90" s="458"/>
      <c r="B90" s="458"/>
      <c r="C90" s="458"/>
      <c r="D90" s="694"/>
      <c r="E90" s="694"/>
      <c r="F90" s="694"/>
      <c r="G90" s="694"/>
      <c r="H90" s="694"/>
      <c r="I90" s="694"/>
      <c r="J90" s="694"/>
      <c r="K90" s="694"/>
      <c r="L90" s="694"/>
      <c r="M90" s="458"/>
      <c r="N90" s="458"/>
      <c r="O90" s="458"/>
      <c r="P90" s="60"/>
      <c r="Q90" s="21"/>
      <c r="R90" s="21"/>
      <c r="S90" s="18"/>
      <c r="T90" s="18"/>
      <c r="U90" s="18"/>
      <c r="V90" s="18"/>
    </row>
    <row r="91" spans="1:22" ht="12.75">
      <c r="A91" s="458"/>
      <c r="B91" s="458"/>
      <c r="C91" s="458"/>
      <c r="D91" s="81"/>
      <c r="E91" s="81"/>
      <c r="F91" s="81"/>
      <c r="G91" s="81"/>
      <c r="H91" s="81"/>
      <c r="I91" s="81"/>
      <c r="J91" s="81"/>
      <c r="K91" s="81"/>
      <c r="L91" s="81"/>
      <c r="M91" s="458"/>
      <c r="N91" s="458"/>
      <c r="O91" s="458"/>
      <c r="P91" s="60"/>
      <c r="Q91" s="21"/>
      <c r="R91" s="21"/>
      <c r="S91" s="18"/>
      <c r="T91" s="18"/>
      <c r="U91" s="18"/>
      <c r="V91" s="18"/>
    </row>
    <row r="92" spans="1:22" ht="12.75">
      <c r="A92" s="459"/>
      <c r="B92" s="458"/>
      <c r="C92" s="458"/>
      <c r="D92" s="458"/>
      <c r="E92" s="458"/>
      <c r="F92" s="458"/>
      <c r="G92" s="458"/>
      <c r="H92" s="458"/>
      <c r="I92" s="458"/>
      <c r="J92" s="458"/>
      <c r="K92" s="458"/>
      <c r="L92" s="458"/>
      <c r="M92" s="458"/>
      <c r="N92" s="458"/>
      <c r="O92" s="458"/>
      <c r="P92" s="60"/>
      <c r="Q92" s="21"/>
      <c r="R92" s="21"/>
      <c r="S92" s="18"/>
      <c r="T92" s="18"/>
      <c r="U92" s="18"/>
      <c r="V92" s="18"/>
    </row>
    <row r="93" spans="1:22" ht="12.75">
      <c r="A93" s="458"/>
      <c r="B93" s="458"/>
      <c r="C93" s="458"/>
      <c r="D93" s="458"/>
      <c r="E93" s="458"/>
      <c r="F93" s="458"/>
      <c r="G93" s="458"/>
      <c r="H93" s="458"/>
      <c r="I93" s="655" t="s">
        <v>967</v>
      </c>
      <c r="J93" s="534">
        <f>IF(Input!E14="","",Input!E14)</f>
      </c>
      <c r="K93" s="580"/>
      <c r="L93" s="490"/>
      <c r="M93" s="458"/>
      <c r="N93" s="458"/>
      <c r="O93" s="458"/>
      <c r="P93" s="60"/>
      <c r="Q93" s="21"/>
      <c r="R93" s="21"/>
      <c r="S93" s="18"/>
      <c r="T93" s="18"/>
      <c r="U93" s="18"/>
      <c r="V93" s="18"/>
    </row>
    <row r="94" spans="1:22" ht="12.75">
      <c r="A94" s="22" t="s">
        <v>1209</v>
      </c>
      <c r="B94" s="458"/>
      <c r="C94" s="458"/>
      <c r="D94" s="458"/>
      <c r="E94" s="458"/>
      <c r="F94" s="458"/>
      <c r="G94" s="458"/>
      <c r="H94" s="458"/>
      <c r="I94" s="458"/>
      <c r="J94" s="458"/>
      <c r="K94" s="458"/>
      <c r="L94" s="458"/>
      <c r="M94" s="458"/>
      <c r="N94" s="458"/>
      <c r="O94" s="458"/>
      <c r="P94" s="60"/>
      <c r="Q94" s="21"/>
      <c r="R94" s="21"/>
      <c r="S94" s="18"/>
      <c r="T94" s="18"/>
      <c r="U94" s="18"/>
      <c r="V94" s="18"/>
    </row>
    <row r="95" spans="1:22" ht="12.75">
      <c r="A95" s="458"/>
      <c r="B95" s="458"/>
      <c r="C95" s="458"/>
      <c r="D95" s="458"/>
      <c r="E95" s="458"/>
      <c r="F95" s="458"/>
      <c r="G95" s="458"/>
      <c r="H95" s="458"/>
      <c r="I95" s="458"/>
      <c r="J95" s="458"/>
      <c r="K95" s="458"/>
      <c r="L95" s="458"/>
      <c r="M95" s="458"/>
      <c r="N95" s="458"/>
      <c r="O95" s="458"/>
      <c r="P95" s="60"/>
      <c r="Q95" s="21"/>
      <c r="R95" s="21"/>
      <c r="S95" s="18"/>
      <c r="T95" s="18"/>
      <c r="U95" s="18"/>
      <c r="V95" s="18"/>
    </row>
    <row r="96" spans="1:22" ht="12.75">
      <c r="A96" s="65"/>
      <c r="B96" s="65"/>
      <c r="C96" s="65"/>
      <c r="D96" s="65"/>
      <c r="E96" s="65"/>
      <c r="F96" s="65"/>
      <c r="G96" s="458"/>
      <c r="H96" s="458"/>
      <c r="I96" s="458"/>
      <c r="J96" s="458"/>
      <c r="K96" s="458"/>
      <c r="L96" s="458"/>
      <c r="M96" s="458"/>
      <c r="N96" s="458"/>
      <c r="O96" s="458"/>
      <c r="P96" s="60"/>
      <c r="Q96" s="21"/>
      <c r="R96" s="21"/>
      <c r="S96" s="18"/>
      <c r="T96" s="18"/>
      <c r="U96" s="18"/>
      <c r="V96" s="18"/>
    </row>
    <row r="97" spans="1:22" ht="12.75">
      <c r="A97" s="60"/>
      <c r="B97" s="60"/>
      <c r="C97" s="60"/>
      <c r="D97" s="60"/>
      <c r="E97" s="60"/>
      <c r="F97" s="60"/>
      <c r="P97" s="60"/>
      <c r="Q97" s="21"/>
      <c r="R97" s="21"/>
      <c r="S97" s="18"/>
      <c r="T97" s="18"/>
      <c r="U97" s="18"/>
      <c r="V97" s="18"/>
    </row>
    <row r="98" spans="1:22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0"/>
      <c r="O98" s="60"/>
      <c r="P98" s="60"/>
      <c r="Q98" s="21"/>
      <c r="R98" s="21"/>
      <c r="S98" s="18"/>
      <c r="T98" s="18"/>
      <c r="U98" s="18"/>
      <c r="V98" s="18"/>
    </row>
    <row r="99" spans="1:22" ht="12.7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21"/>
      <c r="R99" s="21"/>
      <c r="S99" s="18"/>
      <c r="T99" s="18"/>
      <c r="U99" s="18"/>
      <c r="V99" s="18"/>
    </row>
    <row r="100" spans="1:22" ht="12.75">
      <c r="A100" s="65"/>
      <c r="B100" s="65"/>
      <c r="C100" s="320"/>
      <c r="D100" s="65"/>
      <c r="E100" s="102"/>
      <c r="F100" s="65"/>
      <c r="G100" s="320"/>
      <c r="H100" s="65"/>
      <c r="I100" s="60"/>
      <c r="J100" s="60"/>
      <c r="K100" s="320"/>
      <c r="L100" s="239"/>
      <c r="M100" s="60"/>
      <c r="N100" s="60"/>
      <c r="O100" s="60"/>
      <c r="P100" s="60"/>
      <c r="Q100" s="21"/>
      <c r="R100" s="21"/>
      <c r="S100" s="18"/>
      <c r="T100" s="18"/>
      <c r="U100" s="18"/>
      <c r="V100" s="18"/>
    </row>
    <row r="101" spans="1:22" ht="12.75">
      <c r="A101" s="65"/>
      <c r="B101" s="65"/>
      <c r="C101" s="320"/>
      <c r="D101" s="65"/>
      <c r="E101" s="65"/>
      <c r="F101" s="65"/>
      <c r="G101" s="65"/>
      <c r="H101" s="65"/>
      <c r="I101" s="65"/>
      <c r="J101" s="60"/>
      <c r="K101" s="320"/>
      <c r="L101" s="239"/>
      <c r="M101" s="60"/>
      <c r="N101" s="60"/>
      <c r="O101" s="60"/>
      <c r="P101" s="60"/>
      <c r="Q101" s="21"/>
      <c r="R101" s="21"/>
      <c r="S101" s="18"/>
      <c r="T101" s="18"/>
      <c r="U101" s="18"/>
      <c r="V101" s="18"/>
    </row>
    <row r="102" spans="1:22" ht="12.75">
      <c r="A102" s="302"/>
      <c r="B102" s="303"/>
      <c r="M102" s="305"/>
      <c r="N102" s="305"/>
      <c r="O102" s="60"/>
      <c r="P102" s="60"/>
      <c r="Q102" s="21"/>
      <c r="R102" s="21"/>
      <c r="S102" s="18"/>
      <c r="T102" s="18"/>
      <c r="U102" s="18"/>
      <c r="V102" s="18"/>
    </row>
    <row r="103" spans="1:22" ht="12.75">
      <c r="A103" s="302"/>
      <c r="B103" s="303"/>
      <c r="M103" s="310"/>
      <c r="N103" s="311"/>
      <c r="O103" s="60"/>
      <c r="P103" s="60"/>
      <c r="Q103" s="21"/>
      <c r="R103" s="21"/>
      <c r="S103" s="18"/>
      <c r="T103" s="18"/>
      <c r="U103" s="18"/>
      <c r="V103" s="18"/>
    </row>
    <row r="104" spans="1:22" ht="12.75">
      <c r="A104" s="302"/>
      <c r="B104" s="303"/>
      <c r="M104" s="310"/>
      <c r="N104" s="311"/>
      <c r="O104" s="60"/>
      <c r="P104" s="60"/>
      <c r="Q104" s="18"/>
      <c r="R104" s="18"/>
      <c r="S104" s="18"/>
      <c r="T104" s="18"/>
      <c r="U104" s="18"/>
      <c r="V104" s="18"/>
    </row>
    <row r="105" spans="15:22" ht="12.75">
      <c r="O105" s="60"/>
      <c r="P105" s="60"/>
      <c r="Q105" s="18"/>
      <c r="R105" s="18"/>
      <c r="S105" s="18"/>
      <c r="T105" s="18"/>
      <c r="U105" s="18"/>
      <c r="V105" s="18"/>
    </row>
    <row r="106" spans="15:22" ht="12.75">
      <c r="O106" s="60"/>
      <c r="P106" s="60"/>
      <c r="Q106" s="18"/>
      <c r="R106" s="18"/>
      <c r="S106" s="18"/>
      <c r="T106" s="18"/>
      <c r="U106" s="18"/>
      <c r="V106" s="18"/>
    </row>
    <row r="107" spans="1:22" ht="12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18"/>
      <c r="R107" s="18"/>
      <c r="S107" s="18"/>
      <c r="T107" s="18"/>
      <c r="U107" s="18"/>
      <c r="V107" s="18"/>
    </row>
    <row r="108" spans="1:22" ht="12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18"/>
      <c r="R108" s="18"/>
      <c r="S108" s="18"/>
      <c r="T108" s="18"/>
      <c r="U108" s="18"/>
      <c r="V108" s="18"/>
    </row>
    <row r="109" spans="1:22" ht="12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18"/>
      <c r="R109" s="18"/>
      <c r="S109" s="18"/>
      <c r="T109" s="18"/>
      <c r="U109" s="18"/>
      <c r="V109" s="18"/>
    </row>
    <row r="110" spans="1:22" ht="12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18"/>
      <c r="R110" s="18"/>
      <c r="S110" s="18"/>
      <c r="T110" s="18"/>
      <c r="U110" s="18"/>
      <c r="V110" s="18"/>
    </row>
    <row r="111" spans="1:22" ht="12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18"/>
      <c r="R111" s="18"/>
      <c r="S111" s="18"/>
      <c r="T111" s="18"/>
      <c r="U111" s="18"/>
      <c r="V111" s="18"/>
    </row>
    <row r="112" spans="1:22" ht="12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18"/>
      <c r="R112" s="18"/>
      <c r="S112" s="18"/>
      <c r="T112" s="18"/>
      <c r="U112" s="18"/>
      <c r="V112" s="18"/>
    </row>
    <row r="113" spans="1:22" ht="12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18"/>
      <c r="R113" s="18"/>
      <c r="S113" s="18"/>
      <c r="T113" s="18"/>
      <c r="U113" s="18"/>
      <c r="V113" s="18"/>
    </row>
    <row r="114" spans="1:22" ht="12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18"/>
      <c r="R114" s="18"/>
      <c r="S114" s="18"/>
      <c r="T114" s="18"/>
      <c r="U114" s="18"/>
      <c r="V114" s="18"/>
    </row>
    <row r="115" spans="1:22" ht="12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18"/>
      <c r="R115" s="18"/>
      <c r="S115" s="18"/>
      <c r="T115" s="18"/>
      <c r="U115" s="18"/>
      <c r="V115" s="18"/>
    </row>
    <row r="116" spans="1:22" ht="12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18"/>
      <c r="R116" s="18"/>
      <c r="S116" s="18"/>
      <c r="T116" s="18"/>
      <c r="U116" s="18"/>
      <c r="V116" s="18"/>
    </row>
    <row r="117" spans="1:22" ht="12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18"/>
      <c r="R117" s="18"/>
      <c r="S117" s="18"/>
      <c r="T117" s="18"/>
      <c r="U117" s="18"/>
      <c r="V117" s="18"/>
    </row>
    <row r="118" spans="1:22" ht="12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18"/>
      <c r="R118" s="18"/>
      <c r="S118" s="18"/>
      <c r="T118" s="18"/>
      <c r="U118" s="18"/>
      <c r="V118" s="18"/>
    </row>
    <row r="119" spans="1:22" ht="12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18"/>
      <c r="R119" s="18"/>
      <c r="S119" s="18"/>
      <c r="T119" s="18"/>
      <c r="U119" s="18"/>
      <c r="V119" s="18"/>
    </row>
    <row r="120" spans="1:22" ht="12.7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18"/>
      <c r="R120" s="18"/>
      <c r="S120" s="18"/>
      <c r="T120" s="18"/>
      <c r="U120" s="18"/>
      <c r="V120" s="18"/>
    </row>
    <row r="121" spans="1:22" ht="12.7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18"/>
      <c r="R121" s="18"/>
      <c r="S121" s="18"/>
      <c r="T121" s="18"/>
      <c r="U121" s="18"/>
      <c r="V121" s="18"/>
    </row>
    <row r="122" spans="1:22" ht="12.7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18"/>
      <c r="R122" s="18"/>
      <c r="S122" s="18"/>
      <c r="T122" s="18"/>
      <c r="U122" s="18"/>
      <c r="V122" s="18"/>
    </row>
    <row r="123" spans="1:22" ht="12.7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18"/>
      <c r="R123" s="18"/>
      <c r="S123" s="18"/>
      <c r="T123" s="18"/>
      <c r="U123" s="18"/>
      <c r="V123" s="18"/>
    </row>
    <row r="124" spans="1:22" ht="12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18"/>
      <c r="R124" s="18"/>
      <c r="S124" s="18"/>
      <c r="T124" s="18"/>
      <c r="U124" s="18"/>
      <c r="V124" s="18"/>
    </row>
    <row r="125" spans="1:22" ht="12.7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18"/>
      <c r="R125" s="18"/>
      <c r="S125" s="18"/>
      <c r="T125" s="18"/>
      <c r="U125" s="18"/>
      <c r="V125" s="18"/>
    </row>
    <row r="126" spans="1:22" ht="12.7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18"/>
      <c r="R126" s="18"/>
      <c r="S126" s="18"/>
      <c r="T126" s="18"/>
      <c r="U126" s="18"/>
      <c r="V126" s="18"/>
    </row>
    <row r="127" spans="1:22" ht="12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18"/>
      <c r="R127" s="18"/>
      <c r="S127" s="18"/>
      <c r="T127" s="18"/>
      <c r="U127" s="18"/>
      <c r="V127" s="18"/>
    </row>
    <row r="128" spans="1:22" ht="12.7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18"/>
      <c r="R128" s="18"/>
      <c r="S128" s="18"/>
      <c r="T128" s="18"/>
      <c r="U128" s="18"/>
      <c r="V128" s="18"/>
    </row>
    <row r="129" spans="1:22" ht="12.7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18"/>
      <c r="R129" s="18"/>
      <c r="S129" s="18"/>
      <c r="T129" s="18"/>
      <c r="U129" s="18"/>
      <c r="V129" s="18"/>
    </row>
    <row r="130" spans="1:22" ht="12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18"/>
      <c r="R130" s="18"/>
      <c r="S130" s="18"/>
      <c r="T130" s="18"/>
      <c r="U130" s="18"/>
      <c r="V130" s="18"/>
    </row>
    <row r="131" spans="1:22" ht="12.7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18"/>
      <c r="R131" s="18"/>
      <c r="S131" s="18"/>
      <c r="T131" s="18"/>
      <c r="U131" s="18"/>
      <c r="V131" s="18"/>
    </row>
    <row r="132" spans="1:22" ht="12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18"/>
      <c r="R132" s="18"/>
      <c r="S132" s="18"/>
      <c r="T132" s="18"/>
      <c r="U132" s="18"/>
      <c r="V132" s="18"/>
    </row>
    <row r="133" spans="1:22" ht="12.7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18"/>
      <c r="R133" s="18"/>
      <c r="S133" s="18"/>
      <c r="T133" s="18"/>
      <c r="U133" s="18"/>
      <c r="V133" s="18"/>
    </row>
    <row r="134" spans="1:16" ht="12.7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</row>
  </sheetData>
  <sheetProtection sheet="1"/>
  <mergeCells count="6">
    <mergeCell ref="G13:G16"/>
    <mergeCell ref="A1:C1"/>
    <mergeCell ref="A9:O9"/>
    <mergeCell ref="A10:O10"/>
    <mergeCell ref="A11:O11"/>
    <mergeCell ref="A12:O12"/>
  </mergeCells>
  <dataValidations count="2">
    <dataValidation type="list" allowBlank="1" showInputMessage="1" showErrorMessage="1" sqref="N41:N48 B41:B58 N72:N73 K72:K73 K41:K52 H41:H56 K61:K64 H72:H73 E72:E73 B72:B73 N61:N62 E41:E58 H61:H66">
      <formula1>$D$32:$D$35</formula1>
    </dataValidation>
    <dataValidation type="list" allowBlank="1" showInputMessage="1" showErrorMessage="1" sqref="K65:K66">
      <formula1>$D$32:$D$36</formula1>
    </dataValidation>
  </dataValidations>
  <printOptions horizontalCentered="1" verticalCentered="1"/>
  <pageMargins left="0.5" right="0.5" top="0.5" bottom="0.5" header="0" footer="0"/>
  <pageSetup fitToHeight="1" fitToWidth="1" horizontalDpi="600" verticalDpi="600" orientation="landscape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shererjt</dc:creator>
  <cp:keywords/>
  <dc:description/>
  <cp:lastModifiedBy>krstulovichjm</cp:lastModifiedBy>
  <cp:lastPrinted>2016-04-19T21:03:00Z</cp:lastPrinted>
  <dcterms:created xsi:type="dcterms:W3CDTF">2005-12-07T16:27:30Z</dcterms:created>
  <dcterms:modified xsi:type="dcterms:W3CDTF">2016-04-20T18:38:40Z</dcterms:modified>
  <cp:category/>
  <cp:version/>
  <cp:contentType/>
  <cp:contentStatus/>
</cp:coreProperties>
</file>