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942" activeTab="0"/>
  </bookViews>
  <sheets>
    <sheet name="Main" sheetId="1" r:id="rId1"/>
    <sheet name="Input" sheetId="2" r:id="rId2"/>
    <sheet name="Setup Bm Input" sheetId="3" r:id="rId3"/>
    <sheet name="Anch Move" sheetId="4" r:id="rId4"/>
    <sheet name="Self Stress" sheetId="5" r:id="rId5"/>
    <sheet name="Thermal" sheetId="6" r:id="rId6"/>
    <sheet name="Singlet E" sheetId="7" r:id="rId7"/>
    <sheet name="Singlet F" sheetId="8" r:id="rId8"/>
    <sheet name="Box Ten 1" sheetId="9" r:id="rId9"/>
    <sheet name="Box Ten 2" sheetId="10" r:id="rId10"/>
    <sheet name="IBeam Ten 1" sheetId="11" r:id="rId11"/>
    <sheet name="IBeam Ten 2" sheetId="12" r:id="rId12"/>
    <sheet name="Source" sheetId="13" r:id="rId13"/>
    <sheet name="Pour 1" sheetId="14" r:id="rId14"/>
    <sheet name="Pour 2" sheetId="15" r:id="rId15"/>
    <sheet name="Box Tol" sheetId="16" r:id="rId16"/>
    <sheet name="IBeam Tol" sheetId="17" r:id="rId17"/>
    <sheet name="Assn" sheetId="18" r:id="rId18"/>
    <sheet name="Final" sheetId="19" r:id="rId19"/>
    <sheet name="Data" sheetId="20" r:id="rId20"/>
  </sheets>
  <definedNames>
    <definedName name="DrapedStrands" localSheetId="3">'Anch Move'!#REF!</definedName>
    <definedName name="DrapedStrands" localSheetId="4">'Self Stress'!#REF!</definedName>
    <definedName name="DrapedStrands">'Setup Bm Input'!$A$46</definedName>
    <definedName name="_xlnm.Print_Area" localSheetId="3">'Anch Move'!$A$14:$K$66</definedName>
    <definedName name="_xlnm.Print_Area" localSheetId="17">'Assn'!$A$10:$H$58</definedName>
    <definedName name="_xlnm.Print_Area" localSheetId="8">'Box Ten 1'!$A$8:$O$75</definedName>
    <definedName name="_xlnm.Print_Area" localSheetId="9">'Box Ten 2'!$A$8:$O$75</definedName>
    <definedName name="_xlnm.Print_Area" localSheetId="15">'Box Tol'!$A$9:$O$73</definedName>
    <definedName name="_xlnm.Print_Area" localSheetId="18">'Final'!$A$7:$J$55</definedName>
    <definedName name="_xlnm.Print_Area" localSheetId="10">'IBeam Ten 1'!$A$8:$O$82</definedName>
    <definedName name="_xlnm.Print_Area" localSheetId="11">'IBeam Ten 2'!$A$8:$O$82</definedName>
    <definedName name="_xlnm.Print_Area" localSheetId="16">'IBeam Tol'!$A$9:$Q$73</definedName>
    <definedName name="_xlnm.Print_Area" localSheetId="1">'Input'!$A$1:$G$97</definedName>
    <definedName name="_xlnm.Print_Area" localSheetId="0">'Main'!$A$1:$J$32</definedName>
    <definedName name="_xlnm.Print_Area" localSheetId="13">'Pour 1'!$A$14:$P$67</definedName>
    <definedName name="_xlnm.Print_Area" localSheetId="14">'Pour 2'!$A$14:$P$67</definedName>
    <definedName name="_xlnm.Print_Area" localSheetId="4">'Self Stress'!$A$14:$K$66</definedName>
    <definedName name="_xlnm.Print_Area" localSheetId="2">'Setup Bm Input'!$A$5:$K$73</definedName>
    <definedName name="_xlnm.Print_Area" localSheetId="6">'Singlet E'!$A$9:$K$94</definedName>
    <definedName name="_xlnm.Print_Area" localSheetId="7">'Singlet F'!$A$9:$K$82</definedName>
    <definedName name="_xlnm.Print_Area" localSheetId="12">'Source'!$A$8:$I$89</definedName>
    <definedName name="_xlnm.Print_Area" localSheetId="5">'Thermal'!$A$23:$K$81</definedName>
  </definedNames>
  <calcPr fullCalcOnLoad="1"/>
</workbook>
</file>

<file path=xl/sharedStrings.xml><?xml version="1.0" encoding="utf-8"?>
<sst xmlns="http://schemas.openxmlformats.org/spreadsheetml/2006/main" count="2587" uniqueCount="1311">
  <si>
    <t>DCI Unit</t>
  </si>
  <si>
    <t>DCI Quantity</t>
  </si>
  <si>
    <t>RET P/S #</t>
  </si>
  <si>
    <t>RET Unit</t>
  </si>
  <si>
    <t>RET Quantity</t>
  </si>
  <si>
    <t>SUPER P/S #</t>
  </si>
  <si>
    <t>SUPER Unit</t>
  </si>
  <si>
    <t>SUPER Quantity</t>
  </si>
  <si>
    <t>Cement Item</t>
  </si>
  <si>
    <t>Cement Code</t>
  </si>
  <si>
    <t>Fly Ash Code</t>
  </si>
  <si>
    <t>Fly Ash Item</t>
  </si>
  <si>
    <t>CA 1 Code</t>
  </si>
  <si>
    <t>CA 1 Item</t>
  </si>
  <si>
    <t>CA 2 Code</t>
  </si>
  <si>
    <t>CA 2 Item</t>
  </si>
  <si>
    <t>FA Code</t>
  </si>
  <si>
    <t>FA Item</t>
  </si>
  <si>
    <t>AEA Code</t>
  </si>
  <si>
    <t>AEA Item</t>
  </si>
  <si>
    <t>WRDA Code</t>
  </si>
  <si>
    <t>WRDA Item</t>
  </si>
  <si>
    <t>DCI Code</t>
  </si>
  <si>
    <t>DCI Item</t>
  </si>
  <si>
    <t>RET Code</t>
  </si>
  <si>
    <t>RET Item</t>
  </si>
  <si>
    <t>SUPER Code</t>
  </si>
  <si>
    <t>SUPER Item</t>
  </si>
  <si>
    <t>MS P/S #</t>
  </si>
  <si>
    <t>MS Unit</t>
  </si>
  <si>
    <t>MS Quantity</t>
  </si>
  <si>
    <t>MS Code</t>
  </si>
  <si>
    <t>MS Item</t>
  </si>
  <si>
    <t>Optional Mix No.</t>
  </si>
  <si>
    <t>All Suppliers</t>
  </si>
  <si>
    <t>Prod and Receiving Agencies</t>
  </si>
  <si>
    <t>IDOT/Consultant Inspectors</t>
  </si>
  <si>
    <t>Producer's Contractor</t>
  </si>
  <si>
    <t>Basic BEAM Table</t>
  </si>
  <si>
    <t>Mix Information Table #1</t>
  </si>
  <si>
    <t>Mix Information Table #2</t>
  </si>
  <si>
    <t>Information Table</t>
  </si>
  <si>
    <t>RE</t>
  </si>
  <si>
    <t>P/S # (Repeated)</t>
  </si>
  <si>
    <t>**For Blank Cells in a Row with Information, Input a Space**</t>
  </si>
  <si>
    <t>Item</t>
  </si>
  <si>
    <t>Vernacular Name</t>
  </si>
  <si>
    <t>NOTE: Please be careful Table Lookups are Unprotected to permit you to type in names and units.</t>
  </si>
  <si>
    <t>P/S #:</t>
  </si>
  <si>
    <t>Payment Measure:</t>
  </si>
  <si>
    <t>Date Printed:</t>
  </si>
  <si>
    <t>Thermal Correction (Group I Loss)</t>
  </si>
  <si>
    <t xml:space="preserve">CYLINDER 3 Load (Ship): </t>
  </si>
  <si>
    <t xml:space="preserve">CYLINDER 2 Load (Cut): </t>
  </si>
  <si>
    <t xml:space="preserve">CYLINDER 1 Load (Cut): </t>
  </si>
  <si>
    <t>Notes: Group I losses correct for load and elongation. Group II losses correct for elongation only.</t>
  </si>
  <si>
    <t>Corrected</t>
  </si>
  <si>
    <t xml:space="preserve">      Straight Strands</t>
  </si>
  <si>
    <t>e-5%</t>
  </si>
  <si>
    <t>e+5%</t>
  </si>
  <si>
    <t xml:space="preserve">          Draped Strands</t>
  </si>
  <si>
    <t xml:space="preserve">      Draped Strands</t>
  </si>
  <si>
    <t xml:space="preserve">Permitted </t>
  </si>
  <si>
    <t>Exceeded?</t>
  </si>
  <si>
    <t>Permitted</t>
  </si>
  <si>
    <t>Fraction Equivalent Factors Corrected Net</t>
  </si>
  <si>
    <t>Fraction Equivalent Factors Corrected Gross</t>
  </si>
  <si>
    <t>Corrected Gross Min/Max Allowable Elongations</t>
  </si>
  <si>
    <t>Minus 3%</t>
  </si>
  <si>
    <t>Plus 3%</t>
  </si>
  <si>
    <t>Minus 5%</t>
  </si>
  <si>
    <t>Plus 5%</t>
  </si>
  <si>
    <t>Corrected Net Min/Max Allowable Elongations</t>
  </si>
  <si>
    <t>Dead End</t>
  </si>
  <si>
    <t>Bed Description</t>
  </si>
  <si>
    <t>Code</t>
  </si>
  <si>
    <t>Cement</t>
  </si>
  <si>
    <t>Flyash</t>
  </si>
  <si>
    <t>FA</t>
  </si>
  <si>
    <t>AEA</t>
  </si>
  <si>
    <t>WRDA</t>
  </si>
  <si>
    <t>DCI</t>
  </si>
  <si>
    <t>RET</t>
  </si>
  <si>
    <t>SUPER</t>
  </si>
  <si>
    <t>Illinois Department of Transportation</t>
  </si>
  <si>
    <t>27601M</t>
  </si>
  <si>
    <t>27701M</t>
  </si>
  <si>
    <t>Meter</t>
  </si>
  <si>
    <t>SqFt</t>
  </si>
  <si>
    <t>Sq M</t>
  </si>
  <si>
    <t>A</t>
  </si>
  <si>
    <t>B</t>
  </si>
  <si>
    <t>C</t>
  </si>
  <si>
    <t>D</t>
  </si>
  <si>
    <t>E</t>
  </si>
  <si>
    <t>Prest Conc Box-Beam</t>
  </si>
  <si>
    <t>Thermal</t>
  </si>
  <si>
    <t xml:space="preserve">Input Area: </t>
  </si>
  <si>
    <t xml:space="preserve">Weather: </t>
  </si>
  <si>
    <t xml:space="preserve">Remarks: </t>
  </si>
  <si>
    <t>(Report Below)</t>
  </si>
  <si>
    <t>Bureau of Materials &amp; Physical Research</t>
  </si>
  <si>
    <t>PLANT INSPECTION REPORT FOR PRECAST PRESTRESSED CONCRETE UNITS</t>
  </si>
  <si>
    <t xml:space="preserve">Report: </t>
  </si>
  <si>
    <t xml:space="preserve">Bed No.: </t>
  </si>
  <si>
    <t xml:space="preserve">Length: </t>
  </si>
  <si>
    <t xml:space="preserve">Producer: </t>
  </si>
  <si>
    <t xml:space="preserve">Beam No.: </t>
  </si>
  <si>
    <t>Definition of Variables</t>
  </si>
  <si>
    <t xml:space="preserve">a = </t>
  </si>
  <si>
    <t xml:space="preserve">T = </t>
  </si>
  <si>
    <t>%</t>
  </si>
  <si>
    <t>Strand</t>
  </si>
  <si>
    <t>Strands</t>
  </si>
  <si>
    <t>[Report Below]</t>
  </si>
  <si>
    <t>Reel/Pack</t>
  </si>
  <si>
    <t>e</t>
  </si>
  <si>
    <t xml:space="preserve">Straight: </t>
  </si>
  <si>
    <t xml:space="preserve">Draped: </t>
  </si>
  <si>
    <t>1/16</t>
  </si>
  <si>
    <t>1/8</t>
  </si>
  <si>
    <t>3/16</t>
  </si>
  <si>
    <t>1/4</t>
  </si>
  <si>
    <t>5/16</t>
  </si>
  <si>
    <t>3/8</t>
  </si>
  <si>
    <t>7/16</t>
  </si>
  <si>
    <t>1/2</t>
  </si>
  <si>
    <t>9/16</t>
  </si>
  <si>
    <t>5/8</t>
  </si>
  <si>
    <t>11/16</t>
  </si>
  <si>
    <t>3/4</t>
  </si>
  <si>
    <t>13/16</t>
  </si>
  <si>
    <t>7/8</t>
  </si>
  <si>
    <t>15/16</t>
  </si>
  <si>
    <t>1</t>
  </si>
  <si>
    <t>Materials Engr</t>
  </si>
  <si>
    <t>Location2</t>
  </si>
  <si>
    <t>City, St Z</t>
  </si>
  <si>
    <t xml:space="preserve"> </t>
  </si>
  <si>
    <t>2</t>
  </si>
  <si>
    <t>5</t>
  </si>
  <si>
    <t>6</t>
  </si>
  <si>
    <t>7</t>
  </si>
  <si>
    <t>8</t>
  </si>
  <si>
    <t>9</t>
  </si>
  <si>
    <t>Regional Engineer</t>
  </si>
  <si>
    <t>UNIT</t>
  </si>
  <si>
    <t>27601</t>
  </si>
  <si>
    <t>27701</t>
  </si>
  <si>
    <t>Bed#</t>
  </si>
  <si>
    <t>Name+Unit</t>
  </si>
  <si>
    <t>CA 1</t>
  </si>
  <si>
    <t>CA 2</t>
  </si>
  <si>
    <t>xfract Table</t>
  </si>
  <si>
    <t>0</t>
  </si>
  <si>
    <t>xFract Tables</t>
  </si>
  <si>
    <t>5 1/16</t>
  </si>
  <si>
    <t>5 1/8</t>
  </si>
  <si>
    <t>5 3/16</t>
  </si>
  <si>
    <t>5 1/4</t>
  </si>
  <si>
    <t>5 5/16</t>
  </si>
  <si>
    <t>5 3/8</t>
  </si>
  <si>
    <t>5 7/16</t>
  </si>
  <si>
    <t>5 1/2</t>
  </si>
  <si>
    <t>5 9/16</t>
  </si>
  <si>
    <t>5 5/8</t>
  </si>
  <si>
    <t>5 11/16</t>
  </si>
  <si>
    <t>5 3/4</t>
  </si>
  <si>
    <t>5 13/16</t>
  </si>
  <si>
    <t>5 7/8</t>
  </si>
  <si>
    <t>5 15/16</t>
  </si>
  <si>
    <t>6 1/16</t>
  </si>
  <si>
    <t>6 1/8</t>
  </si>
  <si>
    <t>6 3/16</t>
  </si>
  <si>
    <t>6 1/4</t>
  </si>
  <si>
    <t>6 5/16</t>
  </si>
  <si>
    <t>6 3/8</t>
  </si>
  <si>
    <t>6 7/16</t>
  </si>
  <si>
    <t>6 1/2</t>
  </si>
  <si>
    <t>6 9/16</t>
  </si>
  <si>
    <t>6 5/8</t>
  </si>
  <si>
    <t>6 11/16</t>
  </si>
  <si>
    <t>6 3/4</t>
  </si>
  <si>
    <t>6 13/16</t>
  </si>
  <si>
    <t>6 7/8</t>
  </si>
  <si>
    <t>6 15/16</t>
  </si>
  <si>
    <t>7 1/16</t>
  </si>
  <si>
    <t>7 1/8</t>
  </si>
  <si>
    <t>7 3/16</t>
  </si>
  <si>
    <t>7 1/4</t>
  </si>
  <si>
    <t>7 5/16</t>
  </si>
  <si>
    <t>7 3/8</t>
  </si>
  <si>
    <t>7 7/16</t>
  </si>
  <si>
    <t>7 1/2</t>
  </si>
  <si>
    <t>7 9/16</t>
  </si>
  <si>
    <t>7 5/8</t>
  </si>
  <si>
    <t>7 11/16</t>
  </si>
  <si>
    <t>7 3/4</t>
  </si>
  <si>
    <t>7 13/16</t>
  </si>
  <si>
    <t>7 7/8</t>
  </si>
  <si>
    <t>7 15/16</t>
  </si>
  <si>
    <t>8 1/16</t>
  </si>
  <si>
    <t>8 1/8</t>
  </si>
  <si>
    <t>8 3/16</t>
  </si>
  <si>
    <t>8 1/4</t>
  </si>
  <si>
    <t>8 5/16</t>
  </si>
  <si>
    <t>8 3/8</t>
  </si>
  <si>
    <t>8 7/16</t>
  </si>
  <si>
    <t>8 1/2</t>
  </si>
  <si>
    <t>8 9/16</t>
  </si>
  <si>
    <t>8 5/8</t>
  </si>
  <si>
    <t>8 11/16</t>
  </si>
  <si>
    <t>8 3/4</t>
  </si>
  <si>
    <t>8 13/16</t>
  </si>
  <si>
    <t>8 7/8</t>
  </si>
  <si>
    <t>8 15/16</t>
  </si>
  <si>
    <t>9 1/16</t>
  </si>
  <si>
    <t>9 1/8</t>
  </si>
  <si>
    <t>9 3/16</t>
  </si>
  <si>
    <t>9 1/4</t>
  </si>
  <si>
    <t>9 5/16</t>
  </si>
  <si>
    <t>9 3/8</t>
  </si>
  <si>
    <t>9 7/16</t>
  </si>
  <si>
    <t>9 1/2</t>
  </si>
  <si>
    <t>9 9/16</t>
  </si>
  <si>
    <t>9 5/8</t>
  </si>
  <si>
    <t>9 11/16</t>
  </si>
  <si>
    <t>9 3/4</t>
  </si>
  <si>
    <t>9 13/16</t>
  </si>
  <si>
    <t>9 7/8</t>
  </si>
  <si>
    <t>9 15/16</t>
  </si>
  <si>
    <t>10</t>
  </si>
  <si>
    <t>10 1/16</t>
  </si>
  <si>
    <t>10 1/8</t>
  </si>
  <si>
    <t>10 3/16</t>
  </si>
  <si>
    <t>10 1/4</t>
  </si>
  <si>
    <t>10 5/16</t>
  </si>
  <si>
    <t>10 3/8</t>
  </si>
  <si>
    <t>10 7/16</t>
  </si>
  <si>
    <t>10 1/2</t>
  </si>
  <si>
    <t>10 9/16</t>
  </si>
  <si>
    <t>10 5/8</t>
  </si>
  <si>
    <t>10 11/16</t>
  </si>
  <si>
    <t>10 3/4</t>
  </si>
  <si>
    <t>10 13/16</t>
  </si>
  <si>
    <t>10 7/8</t>
  </si>
  <si>
    <t>10 15/16</t>
  </si>
  <si>
    <t>11</t>
  </si>
  <si>
    <t>11 1/16</t>
  </si>
  <si>
    <t>11 1/8</t>
  </si>
  <si>
    <t>11 3/16</t>
  </si>
  <si>
    <t>11 1/4</t>
  </si>
  <si>
    <t>11 5/16</t>
  </si>
  <si>
    <t>11 3/8</t>
  </si>
  <si>
    <t>11 7/16</t>
  </si>
  <si>
    <t>11 1/2</t>
  </si>
  <si>
    <t>11 9/16</t>
  </si>
  <si>
    <t>11 5/8</t>
  </si>
  <si>
    <t>11 11/16</t>
  </si>
  <si>
    <t>11 3/4</t>
  </si>
  <si>
    <t>11 13/16</t>
  </si>
  <si>
    <t>11 7/8</t>
  </si>
  <si>
    <t>11 15/16</t>
  </si>
  <si>
    <t>12</t>
  </si>
  <si>
    <t>12 1/16</t>
  </si>
  <si>
    <t>12 1/8</t>
  </si>
  <si>
    <t>12 3/16</t>
  </si>
  <si>
    <t>12 1/4</t>
  </si>
  <si>
    <t>12 5/16</t>
  </si>
  <si>
    <t>12 3/8</t>
  </si>
  <si>
    <t>12 7/16</t>
  </si>
  <si>
    <t>12 1/2</t>
  </si>
  <si>
    <t>12 9/16</t>
  </si>
  <si>
    <t>12 5/8</t>
  </si>
  <si>
    <t>12 11/16</t>
  </si>
  <si>
    <t>12 3/4</t>
  </si>
  <si>
    <t>12 13/16</t>
  </si>
  <si>
    <t>12 7/8</t>
  </si>
  <si>
    <t>12 15/16</t>
  </si>
  <si>
    <t>13</t>
  </si>
  <si>
    <t>13 1/16</t>
  </si>
  <si>
    <t>13 1/8</t>
  </si>
  <si>
    <t>13 3/16</t>
  </si>
  <si>
    <t>13 1/4</t>
  </si>
  <si>
    <t>13 5/16</t>
  </si>
  <si>
    <t>13 3/8</t>
  </si>
  <si>
    <t>13 7/16</t>
  </si>
  <si>
    <t>13 1/2</t>
  </si>
  <si>
    <t>13 9/16</t>
  </si>
  <si>
    <t>13 5/8</t>
  </si>
  <si>
    <t>13 11/16</t>
  </si>
  <si>
    <t>13 3/4</t>
  </si>
  <si>
    <t>13 13/16</t>
  </si>
  <si>
    <t>13 7/8</t>
  </si>
  <si>
    <t>13 15/16</t>
  </si>
  <si>
    <t>14</t>
  </si>
  <si>
    <t>14 1/16</t>
  </si>
  <si>
    <t>14 1/8</t>
  </si>
  <si>
    <t>14 3/16</t>
  </si>
  <si>
    <t>14 1/4</t>
  </si>
  <si>
    <t>14 5/16</t>
  </si>
  <si>
    <t>14 3/8</t>
  </si>
  <si>
    <t>14 7/16</t>
  </si>
  <si>
    <t>14 1/2</t>
  </si>
  <si>
    <t>14 9/16</t>
  </si>
  <si>
    <t>14 5/8</t>
  </si>
  <si>
    <t>14 11/16</t>
  </si>
  <si>
    <t>14 3/4</t>
  </si>
  <si>
    <t>14 13/16</t>
  </si>
  <si>
    <t>14 7/8</t>
  </si>
  <si>
    <t>14 15/16</t>
  </si>
  <si>
    <t>15</t>
  </si>
  <si>
    <t>15 1/16</t>
  </si>
  <si>
    <t>15 1/8</t>
  </si>
  <si>
    <t>15 3/16</t>
  </si>
  <si>
    <t>15 1/4</t>
  </si>
  <si>
    <t>15 5/16</t>
  </si>
  <si>
    <t>15 3/8</t>
  </si>
  <si>
    <t>15 7/16</t>
  </si>
  <si>
    <t>15 1/2</t>
  </si>
  <si>
    <t>15 9/16</t>
  </si>
  <si>
    <t>15 5/8</t>
  </si>
  <si>
    <t>15 11/16</t>
  </si>
  <si>
    <t>15 3/4</t>
  </si>
  <si>
    <t>15 13/16</t>
  </si>
  <si>
    <t>15 7/8</t>
  </si>
  <si>
    <t>15 15/16</t>
  </si>
  <si>
    <t>16</t>
  </si>
  <si>
    <t>16 1/16</t>
  </si>
  <si>
    <t>16 1/8</t>
  </si>
  <si>
    <t>16 3/16</t>
  </si>
  <si>
    <t>16 1/4</t>
  </si>
  <si>
    <t>16 5/16</t>
  </si>
  <si>
    <t>16 3/8</t>
  </si>
  <si>
    <t>16 7/16</t>
  </si>
  <si>
    <t>16 1/2</t>
  </si>
  <si>
    <t>16 9/16</t>
  </si>
  <si>
    <t>16 5/8</t>
  </si>
  <si>
    <t>16 11/16</t>
  </si>
  <si>
    <t>16 3/4</t>
  </si>
  <si>
    <t>16 13/16</t>
  </si>
  <si>
    <t>16 7/8</t>
  </si>
  <si>
    <t>16 15/16</t>
  </si>
  <si>
    <t>17</t>
  </si>
  <si>
    <t>17 1/16</t>
  </si>
  <si>
    <t>17 1/8</t>
  </si>
  <si>
    <t>17 3/16</t>
  </si>
  <si>
    <t>17 1/4</t>
  </si>
  <si>
    <t>17 5/16</t>
  </si>
  <si>
    <t>17 3/8</t>
  </si>
  <si>
    <t>17 7/16</t>
  </si>
  <si>
    <t>17 1/2</t>
  </si>
  <si>
    <t>17 9/16</t>
  </si>
  <si>
    <t>V and H</t>
  </si>
  <si>
    <t>Different.</t>
  </si>
  <si>
    <t>17 5/8</t>
  </si>
  <si>
    <t>17 11/16</t>
  </si>
  <si>
    <t>17 3/4</t>
  </si>
  <si>
    <t>17 13/16</t>
  </si>
  <si>
    <t>17 7/8</t>
  </si>
  <si>
    <t>17 15/16</t>
  </si>
  <si>
    <t>18</t>
  </si>
  <si>
    <t>18 1/16</t>
  </si>
  <si>
    <t>18 1/8</t>
  </si>
  <si>
    <t>18 3/16</t>
  </si>
  <si>
    <t>18 1/4</t>
  </si>
  <si>
    <t>18 5/16</t>
  </si>
  <si>
    <t>18 3/8</t>
  </si>
  <si>
    <t>18 7/16</t>
  </si>
  <si>
    <t>18 1/2</t>
  </si>
  <si>
    <t>18 9/16</t>
  </si>
  <si>
    <t>18 5/8</t>
  </si>
  <si>
    <t>18 11/16</t>
  </si>
  <si>
    <t>18 3/4</t>
  </si>
  <si>
    <t>18 13/16</t>
  </si>
  <si>
    <t>18 7/8</t>
  </si>
  <si>
    <t>18 15/16</t>
  </si>
  <si>
    <t>19</t>
  </si>
  <si>
    <t>19 1/16</t>
  </si>
  <si>
    <t>19 1/8</t>
  </si>
  <si>
    <t>19 3/16</t>
  </si>
  <si>
    <t>19 1/4</t>
  </si>
  <si>
    <t>19 5/16</t>
  </si>
  <si>
    <t>19 3/8</t>
  </si>
  <si>
    <t>19 7/16</t>
  </si>
  <si>
    <t>19 1/2</t>
  </si>
  <si>
    <t>19 9/16</t>
  </si>
  <si>
    <t>19 5/8</t>
  </si>
  <si>
    <t>19 11/16</t>
  </si>
  <si>
    <t>19 3/4</t>
  </si>
  <si>
    <t>19 13/16</t>
  </si>
  <si>
    <t>19 7/8</t>
  </si>
  <si>
    <t>19 15/16</t>
  </si>
  <si>
    <t>20</t>
  </si>
  <si>
    <t>20 1/16</t>
  </si>
  <si>
    <t>20 1/8</t>
  </si>
  <si>
    <t>20 3/16</t>
  </si>
  <si>
    <t>20 1/4</t>
  </si>
  <si>
    <t>20 5/16</t>
  </si>
  <si>
    <t>20 3/8</t>
  </si>
  <si>
    <t>20 7/16</t>
  </si>
  <si>
    <t>20 1/2</t>
  </si>
  <si>
    <t>20 9/16</t>
  </si>
  <si>
    <t>20 5/8</t>
  </si>
  <si>
    <t>20 11/16</t>
  </si>
  <si>
    <t>20 3/4</t>
  </si>
  <si>
    <t>20 13/16</t>
  </si>
  <si>
    <t>20 7/8</t>
  </si>
  <si>
    <t>20 15/16</t>
  </si>
  <si>
    <t>21</t>
  </si>
  <si>
    <t>21 1/16</t>
  </si>
  <si>
    <t>21 1/8</t>
  </si>
  <si>
    <t>21 3/16</t>
  </si>
  <si>
    <t>21 1/4</t>
  </si>
  <si>
    <t>21 5/16</t>
  </si>
  <si>
    <t>21 3/8</t>
  </si>
  <si>
    <t>21 7/16</t>
  </si>
  <si>
    <t>21 1/2</t>
  </si>
  <si>
    <t>21 9/16</t>
  </si>
  <si>
    <t>21 5/8</t>
  </si>
  <si>
    <t>21 11/16</t>
  </si>
  <si>
    <t>21 3/4</t>
  </si>
  <si>
    <t>21 13/16</t>
  </si>
  <si>
    <t>21 7/8</t>
  </si>
  <si>
    <t>21 15/16</t>
  </si>
  <si>
    <t>22</t>
  </si>
  <si>
    <t>22 1/16</t>
  </si>
  <si>
    <t>22 1/8</t>
  </si>
  <si>
    <t>22 3/16</t>
  </si>
  <si>
    <t>22 1/4</t>
  </si>
  <si>
    <t>22 5/16</t>
  </si>
  <si>
    <t>22 3/8</t>
  </si>
  <si>
    <t>22 7/16</t>
  </si>
  <si>
    <t>22 1/2</t>
  </si>
  <si>
    <t>22 9/16</t>
  </si>
  <si>
    <t>22 5/8</t>
  </si>
  <si>
    <t>22 11/16</t>
  </si>
  <si>
    <t>22 3/4</t>
  </si>
  <si>
    <t>22 13/16</t>
  </si>
  <si>
    <t>22 7/8</t>
  </si>
  <si>
    <t>22 15/16</t>
  </si>
  <si>
    <t>23</t>
  </si>
  <si>
    <t>23 1/16</t>
  </si>
  <si>
    <t>23 1/8</t>
  </si>
  <si>
    <t>23 3/16</t>
  </si>
  <si>
    <t>23 1/4</t>
  </si>
  <si>
    <t>23 5/16</t>
  </si>
  <si>
    <t>23 3/8</t>
  </si>
  <si>
    <t>23 7/16</t>
  </si>
  <si>
    <t>23 1/2</t>
  </si>
  <si>
    <t>23 9/16</t>
  </si>
  <si>
    <t>23 5/8</t>
  </si>
  <si>
    <t>23 11/16</t>
  </si>
  <si>
    <t>23 3/4</t>
  </si>
  <si>
    <t>23 13/16</t>
  </si>
  <si>
    <t>23 7/8</t>
  </si>
  <si>
    <t>23 15/16</t>
  </si>
  <si>
    <t>24</t>
  </si>
  <si>
    <t>24 1/16</t>
  </si>
  <si>
    <t>24 1/8</t>
  </si>
  <si>
    <t>24 3/16</t>
  </si>
  <si>
    <t>24 1/4</t>
  </si>
  <si>
    <t>24 5/16</t>
  </si>
  <si>
    <t>24 3/8</t>
  </si>
  <si>
    <t>24 7/16</t>
  </si>
  <si>
    <t>24 1/2</t>
  </si>
  <si>
    <t>24 9/16</t>
  </si>
  <si>
    <t>24 5/8</t>
  </si>
  <si>
    <t>24 11/16</t>
  </si>
  <si>
    <t>24 3/4</t>
  </si>
  <si>
    <t>24 13/16</t>
  </si>
  <si>
    <t>24 7/8</t>
  </si>
  <si>
    <t>24 15/16</t>
  </si>
  <si>
    <t>25</t>
  </si>
  <si>
    <t>25 1/16</t>
  </si>
  <si>
    <t>25 1/8</t>
  </si>
  <si>
    <t>25 3/16</t>
  </si>
  <si>
    <t>25 1/4</t>
  </si>
  <si>
    <t>25 5/16</t>
  </si>
  <si>
    <t>25 3/8</t>
  </si>
  <si>
    <t>25 7/16</t>
  </si>
  <si>
    <t>25 1/2</t>
  </si>
  <si>
    <t>25 9/16</t>
  </si>
  <si>
    <t>25 5/8</t>
  </si>
  <si>
    <t>25 11/16</t>
  </si>
  <si>
    <t>25 3/4</t>
  </si>
  <si>
    <t>25 13/16</t>
  </si>
  <si>
    <t>25 7/8</t>
  </si>
  <si>
    <t>25 15/16</t>
  </si>
  <si>
    <t>26</t>
  </si>
  <si>
    <t>26 1/16</t>
  </si>
  <si>
    <t>26 1/8</t>
  </si>
  <si>
    <t>26 3/16</t>
  </si>
  <si>
    <t>26 1/4</t>
  </si>
  <si>
    <t>26 5/16</t>
  </si>
  <si>
    <t>26 3/8</t>
  </si>
  <si>
    <t>26 7/16</t>
  </si>
  <si>
    <t>26 1/2</t>
  </si>
  <si>
    <t>26 9/16</t>
  </si>
  <si>
    <t>26 5/8</t>
  </si>
  <si>
    <t>26 11/16</t>
  </si>
  <si>
    <t>26 3/4</t>
  </si>
  <si>
    <t>26 13/16</t>
  </si>
  <si>
    <t>26 7/8</t>
  </si>
  <si>
    <t>26 15/16</t>
  </si>
  <si>
    <t>27</t>
  </si>
  <si>
    <t>27 1/16</t>
  </si>
  <si>
    <t>27 1/8</t>
  </si>
  <si>
    <t>27 3/16</t>
  </si>
  <si>
    <t>27 1/4</t>
  </si>
  <si>
    <t>27 5/16</t>
  </si>
  <si>
    <t>27 3/8</t>
  </si>
  <si>
    <t>27 7/16</t>
  </si>
  <si>
    <t>27 1/2</t>
  </si>
  <si>
    <t>27 9/16</t>
  </si>
  <si>
    <t>27 5/8</t>
  </si>
  <si>
    <t>27 11/16</t>
  </si>
  <si>
    <t>27 3/4</t>
  </si>
  <si>
    <t>27 13/16</t>
  </si>
  <si>
    <t>27 7/8</t>
  </si>
  <si>
    <t>27 15/16</t>
  </si>
  <si>
    <t>28</t>
  </si>
  <si>
    <t>28 1/16</t>
  </si>
  <si>
    <t>28 1/8</t>
  </si>
  <si>
    <t>28 3/16</t>
  </si>
  <si>
    <t>28 1/4</t>
  </si>
  <si>
    <t>28 5/16</t>
  </si>
  <si>
    <t>28 3/8</t>
  </si>
  <si>
    <t>28 7/16</t>
  </si>
  <si>
    <t>28 1/2</t>
  </si>
  <si>
    <t>28 9/16</t>
  </si>
  <si>
    <t>28 5/8</t>
  </si>
  <si>
    <t>28 11/16</t>
  </si>
  <si>
    <t>28 3/4</t>
  </si>
  <si>
    <t>28 13/16</t>
  </si>
  <si>
    <t>28 7/8</t>
  </si>
  <si>
    <t>28 15/16</t>
  </si>
  <si>
    <t>29</t>
  </si>
  <si>
    <t>29 1/16</t>
  </si>
  <si>
    <t>29 1/8</t>
  </si>
  <si>
    <t>29 3/16</t>
  </si>
  <si>
    <t>29 1/4</t>
  </si>
  <si>
    <t>29 5/16</t>
  </si>
  <si>
    <t>29 3/8</t>
  </si>
  <si>
    <t>29 7/16</t>
  </si>
  <si>
    <t>29 1/2</t>
  </si>
  <si>
    <t>29 9/16</t>
  </si>
  <si>
    <t>29 5/8</t>
  </si>
  <si>
    <t>29 11/16</t>
  </si>
  <si>
    <t>29 3/4</t>
  </si>
  <si>
    <t>29 13/16</t>
  </si>
  <si>
    <t>29 7/8</t>
  </si>
  <si>
    <t>29 15/16</t>
  </si>
  <si>
    <t>30</t>
  </si>
  <si>
    <t>30 1/16</t>
  </si>
  <si>
    <t>30 1/8</t>
  </si>
  <si>
    <t>Minimum</t>
  </si>
  <si>
    <t>Maximum</t>
  </si>
  <si>
    <t>Number and Size Description</t>
  </si>
  <si>
    <t>BEAMS:</t>
  </si>
  <si>
    <t>Date:</t>
  </si>
  <si>
    <t>Each</t>
  </si>
  <si>
    <t>County:</t>
  </si>
  <si>
    <t>Section:</t>
  </si>
  <si>
    <t>Route:</t>
  </si>
  <si>
    <t>Job No.:</t>
  </si>
  <si>
    <t>Rd.Dist.:</t>
  </si>
  <si>
    <t>Contract</t>
  </si>
  <si>
    <t>Beams:</t>
  </si>
  <si>
    <t xml:space="preserve">Manufactured by: </t>
  </si>
  <si>
    <t xml:space="preserve">Address: </t>
  </si>
  <si>
    <t xml:space="preserve">Consignee Location: </t>
  </si>
  <si>
    <t xml:space="preserve">Structure No 2: </t>
  </si>
  <si>
    <t xml:space="preserve">Date Shipped: </t>
  </si>
  <si>
    <t xml:space="preserve">Producers Job# / Bed#: </t>
  </si>
  <si>
    <t>Report Numbers:</t>
  </si>
  <si>
    <t>ID Beam Numbers :</t>
  </si>
  <si>
    <t>Remarks:</t>
  </si>
  <si>
    <t>On the basis of our observations and tests, the above beams comply with the specification</t>
  </si>
  <si>
    <t>requirements.  Resident shall inspect beams for damage during transit and erection.</t>
  </si>
  <si>
    <t>Copies to:</t>
  </si>
  <si>
    <t xml:space="preserve">  This material is accepted and stamped Ill.-OK</t>
  </si>
  <si>
    <t>Reviewed By:</t>
  </si>
  <si>
    <t>Beam</t>
  </si>
  <si>
    <t>Contract:</t>
  </si>
  <si>
    <t>Heat/Steam</t>
  </si>
  <si>
    <t>Final</t>
  </si>
  <si>
    <t xml:space="preserve">             Length</t>
  </si>
  <si>
    <t>Width</t>
  </si>
  <si>
    <t>Camber</t>
  </si>
  <si>
    <t xml:space="preserve">          </t>
  </si>
  <si>
    <t>Top:</t>
  </si>
  <si>
    <t>Bottom:</t>
  </si>
  <si>
    <t>Inspected by:</t>
  </si>
  <si>
    <t>hh:mm</t>
  </si>
  <si>
    <t>ROW #1</t>
  </si>
  <si>
    <t>ROW #2</t>
  </si>
  <si>
    <t>ROW #3</t>
  </si>
  <si>
    <t>ROW #4</t>
  </si>
  <si>
    <t>ROW #5</t>
  </si>
  <si>
    <t>Source</t>
  </si>
  <si>
    <t>Design#</t>
  </si>
  <si>
    <t xml:space="preserve"> Your Design No. (Optional)</t>
  </si>
  <si>
    <t xml:space="preserve"> IDOT Design Number</t>
  </si>
  <si>
    <t>Job No:</t>
  </si>
  <si>
    <t>Bed No.:</t>
  </si>
  <si>
    <t>CODE</t>
  </si>
  <si>
    <t>ITEM</t>
  </si>
  <si>
    <t>QUANTITY</t>
  </si>
  <si>
    <t>P/S</t>
  </si>
  <si>
    <t>NOTES</t>
  </si>
  <si>
    <t>Job</t>
  </si>
  <si>
    <t xml:space="preserve">Max Slump:  </t>
  </si>
  <si>
    <t xml:space="preserve">Max % Air:  </t>
  </si>
  <si>
    <t xml:space="preserve">Min % Air:  </t>
  </si>
  <si>
    <t>III</t>
  </si>
  <si>
    <t xml:space="preserve">Min Strength Cut:  </t>
  </si>
  <si>
    <t xml:space="preserve">Min Strength Ship:  </t>
  </si>
  <si>
    <t xml:space="preserve">Concrete Temp Range:  </t>
  </si>
  <si>
    <t>NOTE: Be Sure to Set Required Specifications</t>
  </si>
  <si>
    <t>[Reports Belows]</t>
  </si>
  <si>
    <t>Pour Sheet 1</t>
  </si>
  <si>
    <t xml:space="preserve">Job#/Bed#: </t>
  </si>
  <si>
    <t xml:space="preserve">  ILLINOIS DEPT. OF TRANSPORTATION</t>
  </si>
  <si>
    <t>Pour Sheet 2</t>
  </si>
  <si>
    <t>Stop Air Temperature:</t>
  </si>
  <si>
    <t xml:space="preserve">  PRESTRESS CONCRETE BEAM POUR</t>
  </si>
  <si>
    <t xml:space="preserve">DATE: </t>
  </si>
  <si>
    <t xml:space="preserve">INSP.:  </t>
  </si>
  <si>
    <t xml:space="preserve">BEAM &gt;&gt;&gt; </t>
  </si>
  <si>
    <t>Pour:</t>
  </si>
  <si>
    <t>Max. Temp</t>
  </si>
  <si>
    <t>County</t>
  </si>
  <si>
    <t>Section</t>
  </si>
  <si>
    <t>Route</t>
  </si>
  <si>
    <t>Job No.</t>
  </si>
  <si>
    <t>Contract No.</t>
  </si>
  <si>
    <t>Assn</t>
  </si>
  <si>
    <t>Shipping Data:</t>
  </si>
  <si>
    <t>From:</t>
  </si>
  <si>
    <t xml:space="preserve">Name  </t>
  </si>
  <si>
    <t>Contract #</t>
  </si>
  <si>
    <t xml:space="preserve">Inspector No.  </t>
  </si>
  <si>
    <t xml:space="preserve">Date Sampled  </t>
  </si>
  <si>
    <t xml:space="preserve">  (IDOT INSPECTOR)</t>
  </si>
  <si>
    <t>Job. No.</t>
  </si>
  <si>
    <t>Matls. Code</t>
  </si>
  <si>
    <t>Test I.D. #</t>
  </si>
  <si>
    <t>Quantity</t>
  </si>
  <si>
    <t xml:space="preserve">        Unit</t>
  </si>
  <si>
    <t>Field No.</t>
  </si>
  <si>
    <t>Prod/Supplier No.</t>
  </si>
  <si>
    <t>Inspect Data</t>
  </si>
  <si>
    <t>Desc. 1</t>
  </si>
  <si>
    <t>Desc. 2</t>
  </si>
  <si>
    <t xml:space="preserve">        PCS</t>
  </si>
  <si>
    <t>Date Assigned</t>
  </si>
  <si>
    <t>Original To:</t>
  </si>
  <si>
    <t>Copies To:</t>
  </si>
  <si>
    <t>NOTE:  This assignment report MUST be signed by state representative before entry into MISTIC.</t>
  </si>
  <si>
    <t>Input Area: SETUP</t>
  </si>
  <si>
    <t>Enter as mm/dd/yy</t>
  </si>
  <si>
    <t>Beam Identification &amp; Description:</t>
  </si>
  <si>
    <t>Contractor</t>
  </si>
  <si>
    <t>Delivery Contact:</t>
  </si>
  <si>
    <t>Street</t>
  </si>
  <si>
    <t>Receiving District/Agency:</t>
  </si>
  <si>
    <t>Job Total Beams( Number &amp; Size Description)</t>
  </si>
  <si>
    <t>Number</t>
  </si>
  <si>
    <t>Input area: SOURCE</t>
  </si>
  <si>
    <t>Consignee</t>
  </si>
  <si>
    <t>Consignee Loc</t>
  </si>
  <si>
    <t>Beam Name</t>
  </si>
  <si>
    <t>Manufacturer</t>
  </si>
  <si>
    <t>MISTIC Prod #</t>
  </si>
  <si>
    <t>Inspector</t>
  </si>
  <si>
    <t>L(ft)L(in)xW(in)xH(in)</t>
  </si>
  <si>
    <t>L(m)xW(m)xH(m)</t>
  </si>
  <si>
    <t>ME</t>
  </si>
  <si>
    <t>Originating District/Agency:</t>
  </si>
  <si>
    <t>Comments:</t>
  </si>
  <si>
    <t>English/Metric</t>
  </si>
  <si>
    <t>M</t>
  </si>
  <si>
    <t>Days</t>
  </si>
  <si>
    <t xml:space="preserve">English/Metric (E or M): </t>
  </si>
  <si>
    <t xml:space="preserve">Plans/Drawings#: </t>
  </si>
  <si>
    <t xml:space="preserve">Structure No. #2: </t>
  </si>
  <si>
    <t xml:space="preserve">Beam No's: </t>
  </si>
  <si>
    <t xml:space="preserve">Dates: (Optional): </t>
  </si>
  <si>
    <t xml:space="preserve">Date Thermal Correction: </t>
  </si>
  <si>
    <t>Dimensions</t>
  </si>
  <si>
    <t>Region/District</t>
  </si>
  <si>
    <t>Inspector Name</t>
  </si>
  <si>
    <t>Min %</t>
  </si>
  <si>
    <t>Max %</t>
  </si>
  <si>
    <t xml:space="preserve">           LOAD CELL DATA</t>
  </si>
  <si>
    <t>Load Cell No.</t>
  </si>
  <si>
    <t xml:space="preserve">    Cell Factor lbs./Micro ins.</t>
  </si>
  <si>
    <t xml:space="preserve">    Cell Reading Micro ins.</t>
  </si>
  <si>
    <t xml:space="preserve"> ASSIGNMENT OF MATERIALS</t>
  </si>
  <si>
    <t xml:space="preserve">Scheduled: </t>
  </si>
  <si>
    <t xml:space="preserve">Start: </t>
  </si>
  <si>
    <t xml:space="preserve">Target: </t>
  </si>
  <si>
    <t xml:space="preserve">Complete: </t>
  </si>
  <si>
    <t xml:space="preserve">OK Stamp: </t>
  </si>
  <si>
    <t xml:space="preserve">Shipped: </t>
  </si>
  <si>
    <t xml:space="preserve">Rd.Dist./City: </t>
  </si>
  <si>
    <t xml:space="preserve">Job No. : </t>
  </si>
  <si>
    <t xml:space="preserve">Person: </t>
  </si>
  <si>
    <t xml:space="preserve">Title: </t>
  </si>
  <si>
    <t xml:space="preserve">Street: </t>
  </si>
  <si>
    <t xml:space="preserve">Street2: </t>
  </si>
  <si>
    <t xml:space="preserve">City, St, Zip: </t>
  </si>
  <si>
    <t xml:space="preserve">Phone: </t>
  </si>
  <si>
    <t xml:space="preserve">IDOT MIX DESIGN NUMBER: </t>
  </si>
  <si>
    <t xml:space="preserve">Time: </t>
  </si>
  <si>
    <t xml:space="preserve">Jack No.: </t>
  </si>
  <si>
    <t xml:space="preserve"> Air temp: </t>
  </si>
  <si>
    <t>Test Results</t>
  </si>
  <si>
    <t xml:space="preserve">Signature: </t>
  </si>
  <si>
    <t xml:space="preserve">Inspected by: </t>
  </si>
  <si>
    <t>Type Cement</t>
  </si>
  <si>
    <t>I</t>
  </si>
  <si>
    <t>II</t>
  </si>
  <si>
    <t xml:space="preserve">NUMBER: </t>
  </si>
  <si>
    <t xml:space="preserve">COUNTY: </t>
  </si>
  <si>
    <t xml:space="preserve">BED#: </t>
  </si>
  <si>
    <t xml:space="preserve">REPORT: </t>
  </si>
  <si>
    <t xml:space="preserve">DESIGN: </t>
  </si>
  <si>
    <t xml:space="preserve">BURLAP TIME - hh:mm am: </t>
  </si>
  <si>
    <t xml:space="preserve">STOP TIME - hh:mm am: </t>
  </si>
  <si>
    <t xml:space="preserve">START TIME - hh:mm am: </t>
  </si>
  <si>
    <t xml:space="preserve">AIR TEMP.: </t>
  </si>
  <si>
    <t xml:space="preserve">CONCRETE TEMP.: </t>
  </si>
  <si>
    <t xml:space="preserve">CUYDS PER BEAM: </t>
  </si>
  <si>
    <t xml:space="preserve">MIX CUYD/BATCH: </t>
  </si>
  <si>
    <t xml:space="preserve">FINE AGG.: </t>
  </si>
  <si>
    <t xml:space="preserve">WATER: </t>
  </si>
  <si>
    <t xml:space="preserve">AEA: </t>
  </si>
  <si>
    <t xml:space="preserve">WRDA: </t>
  </si>
  <si>
    <t xml:space="preserve">SUPERPLASTIC.: </t>
  </si>
  <si>
    <t xml:space="preserve">DCI : </t>
  </si>
  <si>
    <t xml:space="preserve">RETARDER : </t>
  </si>
  <si>
    <t xml:space="preserve">Pour Date: </t>
  </si>
  <si>
    <t xml:space="preserve">Stop Temp: </t>
  </si>
  <si>
    <t xml:space="preserve">From: </t>
  </si>
  <si>
    <t xml:space="preserve">To: </t>
  </si>
  <si>
    <t>+ 3%</t>
  </si>
  <si>
    <t>- 3%</t>
  </si>
  <si>
    <t>ROW #6</t>
  </si>
  <si>
    <t>ROW #7</t>
  </si>
  <si>
    <t>ROW #8</t>
  </si>
  <si>
    <t>ROW #9</t>
  </si>
  <si>
    <t>Mod. El.</t>
  </si>
  <si>
    <t>Dia.</t>
  </si>
  <si>
    <t>Bottom Rows*</t>
  </si>
  <si>
    <t>*Bottom Row Numbers from Lowest to Highest In Beam</t>
  </si>
  <si>
    <t>Top Rows**</t>
  </si>
  <si>
    <t>**Top Row Numbers from Highest to Lowest In Beam</t>
  </si>
  <si>
    <t>ROW #1T</t>
  </si>
  <si>
    <t>ROW #2T</t>
  </si>
  <si>
    <t>ROW #3T</t>
  </si>
  <si>
    <t>ROW #4T</t>
  </si>
  <si>
    <t>ROW #5T</t>
  </si>
  <si>
    <t>ROW #6T</t>
  </si>
  <si>
    <t>ROW #7T</t>
  </si>
  <si>
    <t>ROW #8T</t>
  </si>
  <si>
    <t>Top Rows (Draped)**</t>
  </si>
  <si>
    <t>Bottom Rows (Non-Draped)*</t>
  </si>
  <si>
    <t>- 5%</t>
  </si>
  <si>
    <t>+ 5%</t>
  </si>
  <si>
    <t xml:space="preserve">   Straight Strands</t>
  </si>
  <si>
    <t xml:space="preserve">    Draped Strands</t>
  </si>
  <si>
    <t>Box Tensioning 1</t>
  </si>
  <si>
    <t>Box Tensioning 2</t>
  </si>
  <si>
    <t>I-Beam Tensioning 1</t>
  </si>
  <si>
    <t>Ibeam Ten 1</t>
  </si>
  <si>
    <t>I-Beam Tensioning 2</t>
  </si>
  <si>
    <t>Ibeam Ten 2</t>
  </si>
  <si>
    <t>No. of Strands:</t>
  </si>
  <si>
    <t>Total No. of Strands:</t>
  </si>
  <si>
    <t>No. of Straight Strands:</t>
  </si>
  <si>
    <t>No. of Draped Strands:</t>
  </si>
  <si>
    <t>ASSIGNMENT</t>
  </si>
  <si>
    <t>Desc. 3/Remarks</t>
  </si>
  <si>
    <t>P/S No.</t>
  </si>
  <si>
    <t>Attached are copies of the individual BEAM inspection reports with detailed measurements and test results.</t>
  </si>
  <si>
    <r>
      <t>P</t>
    </r>
    <r>
      <rPr>
        <b/>
        <vertAlign val="subscript"/>
        <sz val="10"/>
        <rFont val="Arial"/>
        <family val="2"/>
      </rPr>
      <t>p</t>
    </r>
  </si>
  <si>
    <r>
      <t>0.80 x 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x A</t>
    </r>
    <r>
      <rPr>
        <vertAlign val="subscript"/>
        <sz val="10"/>
        <rFont val="Arial"/>
        <family val="2"/>
      </rPr>
      <t>s</t>
    </r>
  </si>
  <si>
    <r>
      <t xml:space="preserve">a correction will be made for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T &gt; 25° F or 14° C in Thermal Sheet for cold weather.  </t>
    </r>
  </si>
  <si>
    <t xml:space="preserve">Thermal corrections for hot weather are discouraged and should be manually input by </t>
  </si>
  <si>
    <t>temperature lower than concrete temperature.</t>
  </si>
  <si>
    <t>the user in the thermal sheet.  The "Thermal Correction Always" option assumes air</t>
  </si>
  <si>
    <r>
      <t>Air Temperature at Tensioning (T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): 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</si>
  <si>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Air (Strand) temperature at time of tensioning</t>
    </r>
  </si>
  <si>
    <t>Thermal Correction</t>
  </si>
  <si>
    <r>
      <t xml:space="preserve">a correction will be made for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T &gt; 25° F or 14° C for cold weather.  </t>
    </r>
  </si>
  <si>
    <t>Self-Stressing Beds**</t>
  </si>
  <si>
    <t>Self-Stressing Bed Correction (Group I Loss)</t>
  </si>
  <si>
    <t>Self-Stressing</t>
  </si>
  <si>
    <t>Self-Stressing Beds</t>
  </si>
  <si>
    <t>Self-Stressing Bed Data and Calculations</t>
  </si>
  <si>
    <t>Self-Stressing Beds*</t>
  </si>
  <si>
    <t>*If "No" is chosen for Always? for thermal correction and self-stressing bed option,</t>
  </si>
  <si>
    <t>**If "Yes" is chosen for self-stressing bed option, no thermal correction will be made (thermal</t>
  </si>
  <si>
    <t>*If "Yes" is chosen for self-stressing bed option, no thermal correction will be made (thermal</t>
  </si>
  <si>
    <r>
      <t>**T</t>
    </r>
    <r>
      <rPr>
        <vertAlign val="subscript"/>
        <sz val="10"/>
        <rFont val="Symbol"/>
        <family val="1"/>
      </rPr>
      <t>D</t>
    </r>
    <r>
      <rPr>
        <sz val="10"/>
        <rFont val="Arial"/>
        <family val="2"/>
      </rPr>
      <t xml:space="preserve"> and T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assume thermal correction by over-pulling (cold weather).</t>
    </r>
  </si>
  <si>
    <r>
      <t>e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= Total elongation correction for self-stressing bed per strand</t>
    </r>
  </si>
  <si>
    <r>
      <t>e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 Loss per strand due bed shortening (self-stressing bed)</t>
    </r>
  </si>
  <si>
    <r>
      <t>P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= Force correction for self-stressing beds per strand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</si>
  <si>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= Total gross corrected elongation per strand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</si>
  <si>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= Total net corrected elongation per strand</t>
    </r>
  </si>
  <si>
    <r>
      <t>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-P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) L</t>
    </r>
  </si>
  <si>
    <t>CORRECTION FOR SELF-STRESSING BED EFFECTS ON STRAND ELONGATIONS AND LOADS</t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</si>
  <si>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Minimum specified tensile strength of strand</t>
    </r>
  </si>
  <si>
    <t>Length</t>
  </si>
  <si>
    <t>Ratio</t>
  </si>
  <si>
    <t>Draped /</t>
  </si>
  <si>
    <t>Length Ratio</t>
  </si>
  <si>
    <t>Draped/Str.</t>
  </si>
  <si>
    <t>Straight</t>
  </si>
  <si>
    <t>Draped Strands Too Long?</t>
  </si>
  <si>
    <t>Note: Indicating OK or NG is acceptable for many of the input fields.</t>
  </si>
  <si>
    <t>Specified Cut</t>
  </si>
  <si>
    <t>Specified Ship</t>
  </si>
  <si>
    <t>e = Basic strand elongation without corrections</t>
  </si>
  <si>
    <r>
      <t>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 Elongation correction due to live end seating per strand</t>
    </r>
  </si>
  <si>
    <r>
      <t>e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Elongation correction due to dead end seating per strand</t>
    </r>
  </si>
  <si>
    <r>
      <t>e</t>
    </r>
    <r>
      <rPr>
        <vertAlign val="subscript"/>
        <sz val="10"/>
        <rFont val="Arial"/>
        <family val="2"/>
      </rPr>
      <t>SP</t>
    </r>
    <r>
      <rPr>
        <sz val="10"/>
        <rFont val="Arial"/>
        <family val="0"/>
      </rPr>
      <t xml:space="preserve"> = Elongation correction due to strand splice per strand</t>
    </r>
  </si>
  <si>
    <r>
      <t>e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0"/>
      </rPr>
      <t xml:space="preserve"> = Elongation correction due to other (Group I) per strand</t>
    </r>
  </si>
  <si>
    <r>
      <t>e</t>
    </r>
    <r>
      <rPr>
        <vertAlign val="subscript"/>
        <sz val="10"/>
        <rFont val="Arial"/>
        <family val="2"/>
      </rPr>
      <t>OII</t>
    </r>
    <r>
      <rPr>
        <sz val="10"/>
        <rFont val="Arial"/>
        <family val="0"/>
      </rPr>
      <t xml:space="preserve"> = Elongation correction due to other (Group II) per strand</t>
    </r>
  </si>
  <si>
    <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Total elongation correction for Group I losses per strand</t>
    </r>
  </si>
  <si>
    <r>
      <t>e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2"/>
      </rPr>
      <t xml:space="preserve"> = Total elongation correction for Group II losses per strand</t>
    </r>
  </si>
  <si>
    <r>
      <t>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 Maximum permitted pulling force for a strand (80% F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</t>
    </r>
  </si>
  <si>
    <r>
      <t>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Force correction for live end seating per strand</t>
    </r>
  </si>
  <si>
    <r>
      <t>P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2"/>
      </rPr>
      <t xml:space="preserve"> = Force correction due to other (Group I) per strand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</si>
  <si>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Total force correction for Group I per strand</t>
    </r>
  </si>
  <si>
    <r>
      <t>e</t>
    </r>
    <r>
      <rPr>
        <vertAlign val="subscript"/>
        <sz val="10"/>
        <rFont val="Arial"/>
        <family val="2"/>
      </rPr>
      <t>ps</t>
    </r>
    <r>
      <rPr>
        <sz val="10"/>
        <rFont val="Arial"/>
        <family val="2"/>
      </rPr>
      <t xml:space="preserve"> = Loss per strand due to anchorage movement</t>
    </r>
  </si>
  <si>
    <r>
      <t>T = Change in temperature (T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</si>
  <si>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t>cum/bm</t>
  </si>
  <si>
    <t>cum/btch</t>
  </si>
  <si>
    <t>ml</t>
  </si>
  <si>
    <t>ml/cum</t>
  </si>
  <si>
    <t>liters</t>
  </si>
  <si>
    <t>liters/cum</t>
  </si>
  <si>
    <t>N</t>
  </si>
  <si>
    <t>N/cum</t>
  </si>
  <si>
    <t>mm</t>
  </si>
  <si>
    <t>Pa</t>
  </si>
  <si>
    <t>kPa</t>
  </si>
  <si>
    <t>AIR:</t>
  </si>
  <si>
    <t>SLUMP:</t>
  </si>
  <si>
    <t>STRENGTH (Reported)</t>
  </si>
  <si>
    <t>Length Inches or mm</t>
  </si>
  <si>
    <t xml:space="preserve">         Gross Range of Permitted Elongations (Fractional for English Units)</t>
  </si>
  <si>
    <t xml:space="preserve"> Net Range of Permitted Elongations (Fractional for English Units)</t>
  </si>
  <si>
    <t>Setup Beam Area</t>
  </si>
  <si>
    <t>**Input in Yellow Areas Only**  **Warning: Some Lookup Fields in Light Blue are Unprotected**</t>
  </si>
  <si>
    <r>
      <t>Negative values for T</t>
    </r>
    <r>
      <rPr>
        <vertAlign val="subscript"/>
        <sz val="10"/>
        <rFont val="Symbol"/>
        <family val="1"/>
      </rPr>
      <t>D</t>
    </r>
    <r>
      <rPr>
        <sz val="10"/>
        <rFont val="Arial"/>
        <family val="2"/>
      </rPr>
      <t xml:space="preserve"> indicate maximum permitted load already exceeded.</t>
    </r>
  </si>
  <si>
    <r>
      <t>Positive values for T</t>
    </r>
    <r>
      <rPr>
        <vertAlign val="subscript"/>
        <sz val="10"/>
        <rFont val="Symbol"/>
        <family val="1"/>
      </rPr>
      <t>D</t>
    </r>
    <r>
      <rPr>
        <sz val="10"/>
        <rFont val="Arial"/>
        <family val="2"/>
      </rPr>
      <t xml:space="preserve"> may occur even if maximum permitted load is exceeded.</t>
    </r>
  </si>
  <si>
    <t>**Input Permitted in Yellow Areas and Many Non-Yellow Areas**  **Warning: Many Lookup Fields are Unprotected**</t>
  </si>
  <si>
    <t>**Input in Yellow Areas Only**</t>
  </si>
  <si>
    <t>Report Below</t>
  </si>
  <si>
    <t>Report of Inspection of Precast Prestressed Concrete</t>
  </si>
  <si>
    <t>PCC Mix Design</t>
  </si>
  <si>
    <t>PRODUCERS AND SUPPLIERS OF NON-MIX COMPONENTS</t>
  </si>
  <si>
    <t>P/S Loc</t>
  </si>
  <si>
    <t xml:space="preserve">   DATE  mm/dd/yy: </t>
  </si>
  <si>
    <t xml:space="preserve">REMARKS: </t>
  </si>
  <si>
    <t xml:space="preserve">   AGE: </t>
  </si>
  <si>
    <t xml:space="preserve">Dimensions: </t>
  </si>
  <si>
    <t>Repot Below</t>
  </si>
  <si>
    <t>27602</t>
  </si>
  <si>
    <t>27602M</t>
  </si>
  <si>
    <t>27702</t>
  </si>
  <si>
    <t>27702M</t>
  </si>
  <si>
    <t>27801</t>
  </si>
  <si>
    <t>27801M</t>
  </si>
  <si>
    <t>27803</t>
  </si>
  <si>
    <t>27803M</t>
  </si>
  <si>
    <t>oz/cwt</t>
  </si>
  <si>
    <t>lbs</t>
  </si>
  <si>
    <t>in.</t>
  </si>
  <si>
    <t>psi</t>
  </si>
  <si>
    <t>day</t>
  </si>
  <si>
    <t>hr.</t>
  </si>
  <si>
    <t>gal</t>
  </si>
  <si>
    <t>cuyd/bm</t>
  </si>
  <si>
    <t>cuyd/btch</t>
  </si>
  <si>
    <t>oz/cuyd</t>
  </si>
  <si>
    <t>gal/cuyd</t>
  </si>
  <si>
    <t>lbs/cuyd</t>
  </si>
  <si>
    <t xml:space="preserve">CEMENT: </t>
  </si>
  <si>
    <t>Pour Data 1</t>
  </si>
  <si>
    <t>Pour Data2</t>
  </si>
  <si>
    <t>Remarks</t>
  </si>
  <si>
    <t>Pour Data 2</t>
  </si>
  <si>
    <t xml:space="preserve">FLY ASH: </t>
  </si>
  <si>
    <t xml:space="preserve">COURSE AGG. 1: </t>
  </si>
  <si>
    <t xml:space="preserve">COURSE AGG. 2: </t>
  </si>
  <si>
    <t>WATER</t>
  </si>
  <si>
    <t>Pour 1</t>
  </si>
  <si>
    <t>Specified Max Slump</t>
  </si>
  <si>
    <t>Spec. Conc. Temp Range</t>
  </si>
  <si>
    <t>Specified Max Air</t>
  </si>
  <si>
    <t>Specified Min Air</t>
  </si>
  <si>
    <t>Cure Type</t>
  </si>
  <si>
    <t>(Permitted - Internal Cure)</t>
  </si>
  <si>
    <t>Cure Type:</t>
  </si>
  <si>
    <t>Spec. Max. Internal Temp</t>
  </si>
  <si>
    <t>(Cut Date)</t>
  </si>
  <si>
    <t>(Ship Date)</t>
  </si>
  <si>
    <t>Pour 2</t>
  </si>
  <si>
    <t xml:space="preserve">                      Length</t>
  </si>
  <si>
    <t>Moist Cure</t>
  </si>
  <si>
    <t>Time of Day</t>
  </si>
  <si>
    <t>Date</t>
  </si>
  <si>
    <t>Box Tol</t>
  </si>
  <si>
    <t>Box Tolerances</t>
  </si>
  <si>
    <t>I BEAM Tolerances</t>
  </si>
  <si>
    <t>Ibeam Tol</t>
  </si>
  <si>
    <t>Top Slab</t>
  </si>
  <si>
    <t>Bot. Slab</t>
  </si>
  <si>
    <t>Depths</t>
  </si>
  <si>
    <r>
      <t>(P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- (P</t>
    </r>
    <r>
      <rPr>
        <vertAlign val="subscript"/>
        <sz val="10"/>
        <rFont val="Arial"/>
        <family val="2"/>
      </rPr>
      <t xml:space="preserve">i+T </t>
    </r>
    <r>
      <rPr>
        <sz val="10"/>
        <rFont val="Arial"/>
        <family val="2"/>
      </rPr>
      <t>- 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)) / (a x 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x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) </t>
    </r>
  </si>
  <si>
    <t xml:space="preserve">temperature sheet only.)  Live end seating is not </t>
  </si>
  <si>
    <t xml:space="preserve">considered in this determination since it is not present </t>
  </si>
  <si>
    <t>after tensioning operations are completed.</t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</si>
  <si>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- T</t>
    </r>
    <r>
      <rPr>
        <vertAlign val="subscript"/>
        <sz val="10"/>
        <rFont val="Symbol"/>
        <family val="1"/>
      </rPr>
      <t>D</t>
    </r>
  </si>
  <si>
    <t>Overall</t>
  </si>
  <si>
    <t>Sweep</t>
  </si>
  <si>
    <t>Stirrup Bars</t>
  </si>
  <si>
    <t>Longitudinal</t>
  </si>
  <si>
    <t>Spacing</t>
  </si>
  <si>
    <t>Vertical</t>
  </si>
  <si>
    <t>Alignment</t>
  </si>
  <si>
    <t>End</t>
  </si>
  <si>
    <t>Stirrups</t>
  </si>
  <si>
    <t>U and A</t>
  </si>
  <si>
    <t>Bars</t>
  </si>
  <si>
    <t xml:space="preserve">         Stirrup Bars</t>
  </si>
  <si>
    <t>D(E) Bars</t>
  </si>
  <si>
    <t>@ Rail Anch</t>
  </si>
  <si>
    <t>Beam Seat</t>
  </si>
  <si>
    <t>Area</t>
  </si>
  <si>
    <t>Tubes</t>
  </si>
  <si>
    <t>Void</t>
  </si>
  <si>
    <t>Dowel</t>
  </si>
  <si>
    <t>Tie Rod</t>
  </si>
  <si>
    <t>End Squareness or Skew</t>
  </si>
  <si>
    <t>Elevation</t>
  </si>
  <si>
    <t>Plan</t>
  </si>
  <si>
    <t xml:space="preserve">      Strand Position</t>
  </si>
  <si>
    <t>Other Loc.</t>
  </si>
  <si>
    <t>Pts. of Sup.</t>
  </si>
  <si>
    <t>From End</t>
  </si>
  <si>
    <t>of Beam</t>
  </si>
  <si>
    <t>From Side</t>
  </si>
  <si>
    <t>Projection</t>
  </si>
  <si>
    <t>Above Bm.</t>
  </si>
  <si>
    <t>Ebmed-</t>
  </si>
  <si>
    <t>ment</t>
  </si>
  <si>
    <t xml:space="preserve">          Lifting Loops</t>
  </si>
  <si>
    <t>Plans</t>
  </si>
  <si>
    <t xml:space="preserve">            Inserts</t>
  </si>
  <si>
    <t>G6 Bars</t>
  </si>
  <si>
    <t>Horizontal</t>
  </si>
  <si>
    <t>Flanges</t>
  </si>
  <si>
    <t>Web</t>
  </si>
  <si>
    <t xml:space="preserve">             Widths</t>
  </si>
  <si>
    <t>Splitting</t>
  </si>
  <si>
    <t>Plate</t>
  </si>
  <si>
    <t>Bear. Plate/</t>
  </si>
  <si>
    <t xml:space="preserve">    Permanent Bracing</t>
  </si>
  <si>
    <t>Hold Down</t>
  </si>
  <si>
    <t>Devices</t>
  </si>
  <si>
    <t>Horiz. Align.</t>
  </si>
  <si>
    <t>36601</t>
  </si>
  <si>
    <t>36601M</t>
  </si>
  <si>
    <t>36602</t>
  </si>
  <si>
    <t>36602M</t>
  </si>
  <si>
    <t>Prest Conc I-Beams</t>
  </si>
  <si>
    <t>Prest Conc I-Beam</t>
  </si>
  <si>
    <t>Prest Bulb T Beam</t>
  </si>
  <si>
    <t>Prest Solid Profile Beam</t>
  </si>
  <si>
    <t>Prest Deck Plank</t>
  </si>
  <si>
    <t>Prest Retaining Wall</t>
  </si>
  <si>
    <t>Precast Piling</t>
  </si>
  <si>
    <t>Prest Prec Piling</t>
  </si>
  <si>
    <t>LinFt</t>
  </si>
  <si>
    <t>L(ft)L(in)xH(in)</t>
  </si>
  <si>
    <t>L(M)xH(mm)</t>
  </si>
  <si>
    <t>L(ft)L(in)xW(in)xT(in)</t>
  </si>
  <si>
    <t>L(m)xW(mm)xT(mm)</t>
  </si>
  <si>
    <t>L(ft)L(in)xW(in)</t>
  </si>
  <si>
    <t>L(m)xW(mm)</t>
  </si>
  <si>
    <t>Input Area</t>
  </si>
  <si>
    <t xml:space="preserve">e = </t>
  </si>
  <si>
    <t>Data Area</t>
  </si>
  <si>
    <t>Prestress/Precast Program Main Menu</t>
  </si>
  <si>
    <t>Live End</t>
  </si>
  <si>
    <t>Project:</t>
  </si>
  <si>
    <t xml:space="preserve">Bed/Pour Report: </t>
  </si>
  <si>
    <t xml:space="preserve">Beam Job No.: </t>
  </si>
  <si>
    <t xml:space="preserve">Beam Name: </t>
  </si>
  <si>
    <t xml:space="preserve">Manufacturer: </t>
  </si>
  <si>
    <t>Location</t>
  </si>
  <si>
    <t>Location 2</t>
  </si>
  <si>
    <t>Phone</t>
  </si>
  <si>
    <r>
      <t>Total No. of Strands (N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</t>
    </r>
  </si>
  <si>
    <r>
      <t>No. of Draped Strands (N</t>
    </r>
    <r>
      <rPr>
        <vertAlign val="subscript"/>
        <sz val="10"/>
        <rFont val="Arial"/>
        <family val="2"/>
      </rPr>
      <t>d)</t>
    </r>
  </si>
  <si>
    <t>correction is overriden.)</t>
  </si>
  <si>
    <t>Size/Quantity</t>
  </si>
  <si>
    <t>Other Materials As Required</t>
  </si>
  <si>
    <t>oz</t>
  </si>
  <si>
    <t xml:space="preserve">Structure No.: </t>
  </si>
  <si>
    <t xml:space="preserve">Inspector: </t>
  </si>
  <si>
    <t xml:space="preserve">Deck Beams: </t>
  </si>
  <si>
    <t xml:space="preserve">I Beams: </t>
  </si>
  <si>
    <t xml:space="preserve">Piling: </t>
  </si>
  <si>
    <t xml:space="preserve">Bulb Tees: </t>
  </si>
  <si>
    <t xml:space="preserve">Retaining Wall: </t>
  </si>
  <si>
    <t xml:space="preserve">Deck Planks: </t>
  </si>
  <si>
    <t xml:space="preserve">Solid Profile Beams: </t>
  </si>
  <si>
    <t xml:space="preserve">Draped Strands: </t>
  </si>
  <si>
    <t>Deck L'L"xW"xH"</t>
  </si>
  <si>
    <t>Unit</t>
  </si>
  <si>
    <t>IBeam L'L"x(B"xW"xT')xH"</t>
  </si>
  <si>
    <t xml:space="preserve">Total: </t>
  </si>
  <si>
    <t xml:space="preserve">Consignee: </t>
  </si>
  <si>
    <t xml:space="preserve">Project: </t>
  </si>
  <si>
    <t>Input</t>
  </si>
  <si>
    <t>mm/dd/yy</t>
  </si>
  <si>
    <t xml:space="preserve">Contract: </t>
  </si>
  <si>
    <t xml:space="preserve">Route: </t>
  </si>
  <si>
    <t xml:space="preserve">Section: </t>
  </si>
  <si>
    <t xml:space="preserve">County: </t>
  </si>
  <si>
    <t xml:space="preserve">Job No.: </t>
  </si>
  <si>
    <t xml:space="preserve">Rd. Dist./City: </t>
  </si>
  <si>
    <t xml:space="preserve">Contractor: </t>
  </si>
  <si>
    <t>Local Agency/Resident</t>
  </si>
  <si>
    <t xml:space="preserve">Beam Code No.: </t>
  </si>
  <si>
    <t>QC Manager</t>
  </si>
  <si>
    <t>District</t>
  </si>
  <si>
    <t>Name</t>
  </si>
  <si>
    <t>Division</t>
  </si>
  <si>
    <t>Location 1</t>
  </si>
  <si>
    <t>City, State, Zip</t>
  </si>
  <si>
    <t>Contact</t>
  </si>
  <si>
    <t>Contact Phone</t>
  </si>
  <si>
    <t>Producers</t>
  </si>
  <si>
    <t>Bed Information</t>
  </si>
  <si>
    <r>
      <t>Preload (P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): 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</si>
  <si>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E</t>
    </r>
    <r>
      <rPr>
        <vertAlign val="subscript"/>
        <sz val="10"/>
        <rFont val="Arial"/>
        <family val="2"/>
      </rPr>
      <t>s</t>
    </r>
  </si>
  <si>
    <t xml:space="preserve">Strand Elongation Error: </t>
  </si>
  <si>
    <t>Yes</t>
  </si>
  <si>
    <t>No</t>
  </si>
  <si>
    <t>Draped</t>
  </si>
  <si>
    <t>Strands?</t>
  </si>
  <si>
    <t>Anchorage</t>
  </si>
  <si>
    <t>Movement</t>
  </si>
  <si>
    <t>Correction</t>
  </si>
  <si>
    <t>Total Anchorage</t>
  </si>
  <si>
    <t>Anchorage Movement Correction (Group I Loss)</t>
  </si>
  <si>
    <t>Correction Per</t>
  </si>
  <si>
    <t xml:space="preserve">Force </t>
  </si>
  <si>
    <t>Always?</t>
  </si>
  <si>
    <t>Expected</t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</si>
  <si>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</si>
  <si>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Anch. Movement</t>
  </si>
  <si>
    <t>Thermal Correction*</t>
  </si>
  <si>
    <t xml:space="preserve">Strand Manufacturer: </t>
  </si>
  <si>
    <t>Bed Length (Strand Length</t>
  </si>
  <si>
    <t>Group I Losses</t>
  </si>
  <si>
    <t>Group II Losses</t>
  </si>
  <si>
    <t>Anchorage Movement</t>
  </si>
  <si>
    <r>
      <t>Movement (M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</t>
    </r>
  </si>
  <si>
    <t>Correction per</t>
  </si>
  <si>
    <t>Loss Per Strand</t>
  </si>
  <si>
    <t>Total Elongation</t>
  </si>
  <si>
    <r>
      <t>A</t>
    </r>
    <r>
      <rPr>
        <b/>
        <vertAlign val="subscript"/>
        <sz val="10"/>
        <rFont val="Arial"/>
        <family val="2"/>
      </rPr>
      <t>s</t>
    </r>
  </si>
  <si>
    <r>
      <t>E</t>
    </r>
    <r>
      <rPr>
        <b/>
        <vertAlign val="subscript"/>
        <sz val="10"/>
        <rFont val="Arial"/>
        <family val="2"/>
      </rPr>
      <t>s</t>
    </r>
  </si>
  <si>
    <r>
      <t>F</t>
    </r>
    <r>
      <rPr>
        <b/>
        <vertAlign val="subscript"/>
        <sz val="10"/>
        <rFont val="Arial"/>
        <family val="2"/>
      </rPr>
      <t>u</t>
    </r>
  </si>
  <si>
    <t>per Strand</t>
  </si>
  <si>
    <r>
      <t>e</t>
    </r>
    <r>
      <rPr>
        <b/>
        <vertAlign val="subscript"/>
        <sz val="10"/>
        <rFont val="Arial"/>
        <family val="2"/>
      </rPr>
      <t>am</t>
    </r>
  </si>
  <si>
    <r>
      <t>P</t>
    </r>
    <r>
      <rPr>
        <b/>
        <vertAlign val="subscript"/>
        <sz val="10"/>
        <rFont val="Arial"/>
        <family val="2"/>
      </rPr>
      <t>am</t>
    </r>
  </si>
  <si>
    <t>Force</t>
  </si>
  <si>
    <r>
      <t>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s</t>
    </r>
  </si>
  <si>
    <r>
      <t>e</t>
    </r>
    <r>
      <rPr>
        <vertAlign val="subscript"/>
        <sz val="10"/>
        <rFont val="Arial"/>
        <family val="2"/>
      </rPr>
      <t>ps</t>
    </r>
    <r>
      <rPr>
        <sz val="10"/>
        <rFont val="Arial"/>
        <family val="2"/>
      </rPr>
      <t xml:space="preserve"> = </t>
    </r>
  </si>
  <si>
    <r>
      <t>e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 </t>
    </r>
  </si>
  <si>
    <r>
      <t>M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/ 2 + e</t>
    </r>
    <r>
      <rPr>
        <vertAlign val="subscript"/>
        <sz val="10"/>
        <rFont val="Arial"/>
        <family val="2"/>
      </rPr>
      <t>ps</t>
    </r>
  </si>
  <si>
    <r>
      <t>P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</si>
  <si>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</si>
  <si>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r>
      <t>e</t>
    </r>
    <r>
      <rPr>
        <vertAlign val="subscript"/>
        <sz val="10"/>
        <rFont val="Arial"/>
        <family val="2"/>
      </rPr>
      <t>am</t>
    </r>
    <r>
      <rPr>
        <sz val="10"/>
        <rFont val="Arial"/>
        <family val="2"/>
      </rPr>
      <t xml:space="preserve"> = Total elongation correction for anchorage movement per strand</t>
    </r>
  </si>
  <si>
    <r>
      <t>N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Total number of strands</t>
    </r>
  </si>
  <si>
    <r>
      <t>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 Total anchorage movement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</si>
  <si>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Cross sectional area of strand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</si>
  <si>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Modulus of elasticity of strand</t>
    </r>
  </si>
  <si>
    <t>L = Bed length (strand length between anchors)</t>
  </si>
  <si>
    <t>Bed</t>
  </si>
  <si>
    <r>
      <t>Shortening (S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</si>
  <si>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Total bed shortening</t>
    </r>
  </si>
  <si>
    <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s</t>
    </r>
  </si>
  <si>
    <r>
      <t>e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 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</si>
  <si>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2"/>
      </rPr>
      <t>/ 2 + e</t>
    </r>
    <r>
      <rPr>
        <vertAlign val="subscript"/>
        <sz val="10"/>
        <rFont val="Arial"/>
        <family val="2"/>
      </rPr>
      <t>ss</t>
    </r>
  </si>
  <si>
    <r>
      <t>P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</si>
  <si>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</si>
  <si>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r>
      <t>e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= </t>
    </r>
  </si>
  <si>
    <t xml:space="preserve">Tot. Elong. </t>
  </si>
  <si>
    <t>Tot. Elong.</t>
  </si>
  <si>
    <r>
      <t>Est. Temperature-Concrete when Placed (T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): </t>
    </r>
  </si>
  <si>
    <r>
      <t>N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</si>
  <si>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=</t>
    </r>
  </si>
  <si>
    <t>L =</t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</si>
  <si>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2"/>
      </rPr>
      <t>=</t>
    </r>
  </si>
  <si>
    <r>
      <t>Design Plan Load 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): </t>
    </r>
  </si>
  <si>
    <t>Between Anchors) (L)</t>
  </si>
  <si>
    <r>
      <t>Seating (e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)</t>
    </r>
  </si>
  <si>
    <r>
      <t>Other (e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0"/>
      </rPr>
      <t>)</t>
    </r>
  </si>
  <si>
    <r>
      <t>Seating (e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)</t>
    </r>
  </si>
  <si>
    <r>
      <t>Str. Splices(e</t>
    </r>
    <r>
      <rPr>
        <vertAlign val="subscript"/>
        <sz val="10"/>
        <rFont val="Arial"/>
        <family val="2"/>
      </rPr>
      <t>SP</t>
    </r>
    <r>
      <rPr>
        <sz val="10"/>
        <rFont val="Arial"/>
        <family val="2"/>
      </rPr>
      <t xml:space="preserve">): </t>
    </r>
  </si>
  <si>
    <r>
      <t>Other (e</t>
    </r>
    <r>
      <rPr>
        <vertAlign val="subscript"/>
        <sz val="10"/>
        <rFont val="Arial"/>
        <family val="2"/>
      </rPr>
      <t>OII</t>
    </r>
    <r>
      <rPr>
        <sz val="10"/>
        <rFont val="Arial"/>
        <family val="2"/>
      </rPr>
      <t xml:space="preserve">): </t>
    </r>
  </si>
  <si>
    <r>
      <t>e</t>
    </r>
    <r>
      <rPr>
        <b/>
        <vertAlign val="subscript"/>
        <sz val="10"/>
        <rFont val="Arial"/>
        <family val="2"/>
      </rPr>
      <t>sb</t>
    </r>
  </si>
  <si>
    <r>
      <t>P</t>
    </r>
    <r>
      <rPr>
        <b/>
        <vertAlign val="subscript"/>
        <sz val="10"/>
        <rFont val="Arial"/>
        <family val="2"/>
      </rPr>
      <t>sb</t>
    </r>
  </si>
  <si>
    <t>a = Coefficient of expansion for steel</t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</si>
  <si>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Estimated temperature of concrete at placement</t>
    </r>
  </si>
  <si>
    <r>
      <t>a x L</t>
    </r>
    <r>
      <rPr>
        <sz val="10"/>
        <rFont val="Arial"/>
        <family val="0"/>
      </rPr>
      <t xml:space="preserve"> x T</t>
    </r>
  </si>
  <si>
    <r>
      <t>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Elongation correction due to temperature per strand</t>
    </r>
  </si>
  <si>
    <t xml:space="preserve"> Loss per Strand</t>
  </si>
  <si>
    <t>Per Strand</t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</si>
  <si>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</si>
  <si>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</si>
  <si>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t>Elongation</t>
  </si>
  <si>
    <r>
      <t>e</t>
    </r>
    <r>
      <rPr>
        <b/>
        <vertAlign val="subscript"/>
        <sz val="10"/>
        <rFont val="Arial"/>
        <family val="2"/>
      </rPr>
      <t>t</t>
    </r>
  </si>
  <si>
    <r>
      <t>P</t>
    </r>
    <r>
      <rPr>
        <b/>
        <vertAlign val="subscript"/>
        <sz val="10"/>
        <rFont val="Arial"/>
        <family val="2"/>
      </rPr>
      <t>t</t>
    </r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</si>
  <si>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Design plan load</t>
    </r>
  </si>
  <si>
    <r>
      <t>If the correction to be applied exceeds 5% of the Design Plan Load (P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), the tensioning operation shall be deferred until a more favorable ambient temperature prevails</t>
    </r>
  </si>
  <si>
    <r>
      <t>(P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/ 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</t>
    </r>
  </si>
  <si>
    <t>OK?</t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</si>
  <si>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</si>
  <si>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t>Theor</t>
  </si>
  <si>
    <t>Always</t>
  </si>
  <si>
    <t>&gt; 25</t>
  </si>
  <si>
    <t>English Metric stuff</t>
  </si>
  <si>
    <r>
      <t>e</t>
    </r>
    <r>
      <rPr>
        <vertAlign val="subscript"/>
        <sz val="9"/>
        <rFont val="Arial"/>
        <family val="2"/>
      </rPr>
      <t xml:space="preserve">t </t>
    </r>
    <r>
      <rPr>
        <sz val="9"/>
        <rFont val="Arial"/>
        <family val="2"/>
      </rPr>
      <t xml:space="preserve">=  </t>
    </r>
  </si>
  <si>
    <r>
      <t>T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= </t>
    </r>
  </si>
  <si>
    <r>
      <t>T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= </t>
    </r>
  </si>
  <si>
    <t>CORRECTION FOR THERMAL EFFECTS ON STRAND ELONGATIONS AND LOADS</t>
  </si>
  <si>
    <t>CORRECTION FOR ANCHORAGE MOVEMENT EFFECTS ON STRAND ELONGATIONS AND LOADS</t>
  </si>
  <si>
    <t>Thermal Data and Calculations</t>
  </si>
  <si>
    <t>Anchorage Movement Data and Calculations</t>
  </si>
  <si>
    <r>
      <t>P</t>
    </r>
    <r>
      <rPr>
        <vertAlign val="subscript"/>
        <sz val="10"/>
        <rFont val="Arial"/>
        <family val="2"/>
      </rPr>
      <t xml:space="preserve">am </t>
    </r>
    <r>
      <rPr>
        <sz val="10"/>
        <rFont val="Arial"/>
        <family val="2"/>
      </rPr>
      <t xml:space="preserve">= Force correction for anchorage movement per strand </t>
    </r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</si>
  <si>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Force correction for thermal per strand</t>
    </r>
  </si>
  <si>
    <r>
      <t>Other (P</t>
    </r>
    <r>
      <rPr>
        <vertAlign val="subscript"/>
        <sz val="10"/>
        <rFont val="Arial"/>
        <family val="2"/>
      </rPr>
      <t>OI</t>
    </r>
    <r>
      <rPr>
        <sz val="10"/>
        <rFont val="Arial"/>
        <family val="2"/>
      </rPr>
      <t>)</t>
    </r>
  </si>
  <si>
    <r>
      <t>P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 Preload</t>
    </r>
  </si>
  <si>
    <t>Basic Elongation Data and Calculations</t>
  </si>
  <si>
    <t xml:space="preserve">Basic </t>
  </si>
  <si>
    <t xml:space="preserve">Design </t>
  </si>
  <si>
    <r>
      <t>P</t>
    </r>
    <r>
      <rPr>
        <b/>
        <vertAlign val="subscript"/>
        <sz val="10"/>
        <rFont val="Arial"/>
        <family val="2"/>
      </rPr>
      <t>i</t>
    </r>
  </si>
  <si>
    <t>Preload</t>
  </si>
  <si>
    <r>
      <t>e</t>
    </r>
    <r>
      <rPr>
        <b/>
        <vertAlign val="subscript"/>
        <sz val="10"/>
        <rFont val="Arial"/>
        <family val="2"/>
      </rPr>
      <t>L</t>
    </r>
  </si>
  <si>
    <r>
      <t>e</t>
    </r>
    <r>
      <rPr>
        <b/>
        <vertAlign val="subscript"/>
        <sz val="10"/>
        <rFont val="Arial"/>
        <family val="2"/>
      </rPr>
      <t>OI</t>
    </r>
  </si>
  <si>
    <r>
      <t>e</t>
    </r>
    <r>
      <rPr>
        <b/>
        <vertAlign val="subscript"/>
        <sz val="10"/>
        <rFont val="Arial"/>
        <family val="2"/>
      </rPr>
      <t>I</t>
    </r>
  </si>
  <si>
    <r>
      <t>e</t>
    </r>
    <r>
      <rPr>
        <b/>
        <vertAlign val="subscript"/>
        <sz val="10"/>
        <rFont val="Arial"/>
        <family val="2"/>
      </rPr>
      <t>D</t>
    </r>
  </si>
  <si>
    <r>
      <t>e</t>
    </r>
    <r>
      <rPr>
        <b/>
        <vertAlign val="subscript"/>
        <sz val="10"/>
        <rFont val="Arial"/>
        <family val="2"/>
      </rPr>
      <t>SP</t>
    </r>
  </si>
  <si>
    <r>
      <t>e</t>
    </r>
    <r>
      <rPr>
        <b/>
        <vertAlign val="subscript"/>
        <sz val="10"/>
        <rFont val="Arial"/>
        <family val="2"/>
      </rPr>
      <t>OII</t>
    </r>
  </si>
  <si>
    <r>
      <t>e</t>
    </r>
    <r>
      <rPr>
        <b/>
        <vertAlign val="subscript"/>
        <sz val="10"/>
        <rFont val="Arial"/>
        <family val="2"/>
      </rPr>
      <t>II</t>
    </r>
  </si>
  <si>
    <t>CORRECTION FOR GROUP I AND GROUP II EFFECTS ON STRAND ELONGATIONS</t>
  </si>
  <si>
    <t>Summary of Group I and II Elongation Corrections Gross and Net</t>
  </si>
  <si>
    <r>
      <t>e</t>
    </r>
    <r>
      <rPr>
        <b/>
        <vertAlign val="subscript"/>
        <sz val="10"/>
        <rFont val="Arial"/>
        <family val="2"/>
      </rPr>
      <t>CG</t>
    </r>
  </si>
  <si>
    <r>
      <t>e</t>
    </r>
    <r>
      <rPr>
        <b/>
        <vertAlign val="subscript"/>
        <sz val="10"/>
        <rFont val="Arial"/>
        <family val="2"/>
      </rPr>
      <t>CN</t>
    </r>
  </si>
  <si>
    <t>Permitted Gross and Net Ranges for Corrected Elongations</t>
  </si>
  <si>
    <r>
      <t>Min Straight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x 0.97</t>
    </r>
  </si>
  <si>
    <r>
      <t>Min Draped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2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2"/>
      </rPr>
      <t xml:space="preserve"> x 0.95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</si>
  <si>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-3%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</si>
  <si>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+3%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</si>
  <si>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-5%</t>
    </r>
  </si>
  <si>
    <r>
      <t>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>+5%</t>
    </r>
  </si>
  <si>
    <t xml:space="preserve">          Straight Strands</t>
  </si>
  <si>
    <r>
      <t>Max Straight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x 1.03 </t>
    </r>
  </si>
  <si>
    <r>
      <t>Max Draped Strand e = e</t>
    </r>
    <r>
      <rPr>
        <vertAlign val="subscript"/>
        <sz val="10"/>
        <rFont val="Arial"/>
        <family val="2"/>
      </rPr>
      <t>CG</t>
    </r>
    <r>
      <rPr>
        <sz val="10"/>
        <rFont val="Arial"/>
        <family val="0"/>
      </rPr>
      <t xml:space="preserve"> or 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x 1.05 </t>
    </r>
  </si>
  <si>
    <t>correction is overriden.</t>
  </si>
  <si>
    <t>Singlet Elongations</t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</si>
  <si>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>-3%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</si>
  <si>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>+3%</t>
    </r>
  </si>
  <si>
    <r>
      <t>e</t>
    </r>
    <r>
      <rPr>
        <vertAlign val="subscript"/>
        <sz val="10"/>
        <rFont val="Arial"/>
        <family val="2"/>
      </rPr>
      <t>CN</t>
    </r>
  </si>
  <si>
    <t>CORRECTION FOR GROUP I EFFECTS ON STRAND FORCES</t>
  </si>
  <si>
    <t>Calculations and Summary of Group I Force Corrections</t>
  </si>
  <si>
    <t>Live End Seating</t>
  </si>
  <si>
    <r>
      <t>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</si>
  <si>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L</t>
    </r>
  </si>
  <si>
    <t>Other</t>
  </si>
  <si>
    <t>Specifed by user</t>
  </si>
  <si>
    <r>
      <t>P</t>
    </r>
    <r>
      <rPr>
        <b/>
        <vertAlign val="subscript"/>
        <sz val="10"/>
        <rFont val="Arial"/>
        <family val="2"/>
      </rPr>
      <t>L</t>
    </r>
  </si>
  <si>
    <r>
      <t>P</t>
    </r>
    <r>
      <rPr>
        <b/>
        <vertAlign val="subscript"/>
        <sz val="10"/>
        <rFont val="Arial"/>
        <family val="2"/>
      </rPr>
      <t>OI</t>
    </r>
  </si>
  <si>
    <r>
      <t>P</t>
    </r>
    <r>
      <rPr>
        <b/>
        <vertAlign val="subscript"/>
        <sz val="10"/>
        <rFont val="Arial"/>
        <family val="2"/>
      </rPr>
      <t>T</t>
    </r>
  </si>
  <si>
    <t>Corrected Loads, Maximum Permitted Loads, and Maximum Permitted Temperature</t>
  </si>
  <si>
    <t>Corrected Ld.</t>
  </si>
  <si>
    <t>Design Plan Ld.</t>
  </si>
  <si>
    <t>Permitted Ld.</t>
  </si>
  <si>
    <t>Perm. Ld.</t>
  </si>
  <si>
    <t>Temp. Change</t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</si>
  <si>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i</t>
    </r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</si>
  <si>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i+T</t>
    </r>
  </si>
  <si>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max</t>
    </r>
  </si>
  <si>
    <t xml:space="preserve">Use Gross or </t>
  </si>
  <si>
    <t>Net Corrected</t>
  </si>
  <si>
    <t>Elongations?</t>
  </si>
  <si>
    <t>Gross</t>
  </si>
  <si>
    <t>Net</t>
  </si>
  <si>
    <r>
      <t>e</t>
    </r>
    <r>
      <rPr>
        <vertAlign val="subscript"/>
        <sz val="10"/>
        <rFont val="Arial"/>
        <family val="2"/>
      </rPr>
      <t xml:space="preserve">CG </t>
    </r>
    <r>
      <rPr>
        <sz val="10"/>
        <rFont val="Arial"/>
        <family val="2"/>
      </rPr>
      <t>=</t>
    </r>
  </si>
  <si>
    <r>
      <t>e</t>
    </r>
    <r>
      <rPr>
        <vertAlign val="subscript"/>
        <sz val="10"/>
        <rFont val="Arial"/>
        <family val="2"/>
      </rPr>
      <t>CN</t>
    </r>
    <r>
      <rPr>
        <sz val="10"/>
        <rFont val="Arial"/>
        <family val="0"/>
      </rPr>
      <t xml:space="preserve"> =</t>
    </r>
  </si>
  <si>
    <t>Temperature</t>
  </si>
  <si>
    <r>
      <t>T</t>
    </r>
    <r>
      <rPr>
        <vertAlign val="subscript"/>
        <sz val="10"/>
        <rFont val="Symbol"/>
        <family val="1"/>
      </rPr>
      <t>D</t>
    </r>
    <r>
      <rPr>
        <sz val="10"/>
        <rFont val="Arial"/>
        <family val="2"/>
      </rPr>
      <t xml:space="preserve"> = Maximum permitted temperature change</t>
    </r>
  </si>
  <si>
    <r>
      <t>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</si>
  <si>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 Minimum permitted temperature</t>
    </r>
  </si>
  <si>
    <t>Tot. Corr.</t>
  </si>
  <si>
    <r>
      <t>T</t>
    </r>
    <r>
      <rPr>
        <vertAlign val="subscript"/>
        <sz val="10"/>
        <rFont val="Symbol"/>
        <family val="1"/>
      </rPr>
      <t>D</t>
    </r>
    <r>
      <rPr>
        <vertAlign val="superscript"/>
        <sz val="10"/>
        <rFont val="Symbol"/>
        <family val="1"/>
      </rPr>
      <t>*</t>
    </r>
    <r>
      <rPr>
        <sz val="10"/>
        <rFont val="Arial"/>
        <family val="2"/>
      </rPr>
      <t xml:space="preserve"> =</t>
    </r>
  </si>
  <si>
    <t xml:space="preserve">*Maximum permitted temperature change to not exceed  </t>
  </si>
  <si>
    <r>
      <t>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(5% temperature correction limitation applies to </t>
    </r>
  </si>
  <si>
    <r>
      <t>T</t>
    </r>
    <r>
      <rPr>
        <b/>
        <vertAlign val="subscript"/>
        <sz val="10"/>
        <rFont val="Symbol"/>
        <family val="1"/>
      </rPr>
      <t>D</t>
    </r>
    <r>
      <rPr>
        <b/>
        <vertAlign val="superscript"/>
        <sz val="10"/>
        <rFont val="Symbol"/>
        <family val="1"/>
      </rPr>
      <t>**</t>
    </r>
  </si>
  <si>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min</t>
    </r>
    <r>
      <rPr>
        <b/>
        <vertAlign val="superscript"/>
        <sz val="10"/>
        <rFont val="Arial"/>
        <family val="2"/>
      </rPr>
      <t>**</t>
    </r>
  </si>
  <si>
    <r>
      <t>T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</t>
    </r>
  </si>
  <si>
    <t>Summary of Group I and Group II Elongation Corrections</t>
  </si>
  <si>
    <r>
      <t>e + 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+ e</t>
    </r>
    <r>
      <rPr>
        <vertAlign val="subscript"/>
        <sz val="10"/>
        <rFont val="Arial"/>
        <family val="2"/>
      </rPr>
      <t>II</t>
    </r>
  </si>
  <si>
    <r>
      <t>e + 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+ e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2"/>
      </rPr>
      <t xml:space="preserve"> - e</t>
    </r>
    <r>
      <rPr>
        <vertAlign val="subscript"/>
        <sz val="10"/>
        <rFont val="Arial"/>
        <family val="2"/>
      </rPr>
      <t>L</t>
    </r>
  </si>
  <si>
    <t>Group I</t>
  </si>
  <si>
    <t>Total</t>
  </si>
  <si>
    <t>Group II</t>
  </si>
  <si>
    <t>Singlet Forces</t>
  </si>
  <si>
    <r>
      <t>P</t>
    </r>
    <r>
      <rPr>
        <vertAlign val="subscript"/>
        <sz val="10"/>
        <rFont val="Arial"/>
        <family val="2"/>
      </rPr>
      <t>i+T</t>
    </r>
    <r>
      <rPr>
        <sz val="10"/>
        <rFont val="Arial"/>
        <family val="2"/>
      </rPr>
      <t xml:space="preserve"> = Total corrected pulling force per strand</t>
    </r>
  </si>
  <si>
    <t>MICRO</t>
  </si>
  <si>
    <t>or County Engineer</t>
  </si>
  <si>
    <t>County or City</t>
  </si>
  <si>
    <t>or City Engineer</t>
  </si>
  <si>
    <t>RE/Co. Eng./City Eng.</t>
  </si>
  <si>
    <t>Division/County/City</t>
  </si>
  <si>
    <t>IDOT Mix No.</t>
  </si>
  <si>
    <t>Type of Product (s)</t>
  </si>
  <si>
    <t>P/S #</t>
  </si>
  <si>
    <t>Flyash P/S #</t>
  </si>
  <si>
    <t>Cement P/S #</t>
  </si>
  <si>
    <t>Notes</t>
  </si>
  <si>
    <t>Cement Quantity</t>
  </si>
  <si>
    <t>Cement Unit</t>
  </si>
  <si>
    <t>Fly Ash Unit</t>
  </si>
  <si>
    <t>Fly Ash Quantity</t>
  </si>
  <si>
    <t>CA 1 P/S #</t>
  </si>
  <si>
    <t>CA 1 Unit</t>
  </si>
  <si>
    <t>CA 1 Quantity</t>
  </si>
  <si>
    <t>CA 2 P/S #</t>
  </si>
  <si>
    <t>CA 2 Unit</t>
  </si>
  <si>
    <t>CA 2 Quantity</t>
  </si>
  <si>
    <t>FA P/S #</t>
  </si>
  <si>
    <t>FA Unit</t>
  </si>
  <si>
    <t>FA Quantity</t>
  </si>
  <si>
    <t>AEA P/S #</t>
  </si>
  <si>
    <t>AEA Unit</t>
  </si>
  <si>
    <t>AEA Quantity</t>
  </si>
  <si>
    <t>WRDA P/S #</t>
  </si>
  <si>
    <t>WRDA Unit</t>
  </si>
  <si>
    <t>WRDA Quantity</t>
  </si>
  <si>
    <t>DCI P/S #</t>
  </si>
  <si>
    <t>INITIAL SETUP BEAM INPUT AREA</t>
  </si>
  <si>
    <t>FIELD TENSIONING REPORT FOR DECK BEAMS</t>
  </si>
  <si>
    <t>FIELD TENSIONING REPORT FOR I- AND BULB T-BEAMS</t>
  </si>
  <si>
    <t>SOURCES AND QUANTITIES IN MIX</t>
  </si>
  <si>
    <t>DECK BEAM TOLERANCE REPORT</t>
  </si>
  <si>
    <t>I- AND BULB T-BEAM TOLERANCE REPORT</t>
  </si>
  <si>
    <t>FINAL REPORT</t>
  </si>
  <si>
    <t>Form LX-669</t>
  </si>
  <si>
    <t>Form LX-666</t>
  </si>
  <si>
    <t>Form LX-675B</t>
  </si>
  <si>
    <t>Form LX-6751</t>
  </si>
  <si>
    <t>LX-728</t>
  </si>
  <si>
    <t>MI 083</t>
  </si>
  <si>
    <t>LX-727</t>
  </si>
  <si>
    <t>Per Cu. Yd.</t>
  </si>
  <si>
    <t>(Std. Measures)</t>
  </si>
  <si>
    <t>Cement:</t>
  </si>
  <si>
    <t>Fly Ash:</t>
  </si>
  <si>
    <t>Coarse Agg:</t>
  </si>
  <si>
    <t>Course Agg:</t>
  </si>
  <si>
    <t>Fine Agg:</t>
  </si>
  <si>
    <t>AEA:</t>
  </si>
  <si>
    <t>WRDA:</t>
  </si>
  <si>
    <t>DCI:</t>
  </si>
  <si>
    <t>Retarder:</t>
  </si>
  <si>
    <t>Super:</t>
  </si>
  <si>
    <t>Micro:</t>
  </si>
  <si>
    <t>Water:</t>
  </si>
  <si>
    <t>Tarp Time:</t>
  </si>
  <si>
    <t>Water/Steam:</t>
  </si>
  <si>
    <t>Cut Strand:</t>
  </si>
  <si>
    <t>Plan Yards:</t>
  </si>
  <si>
    <t>Actual Yards:</t>
  </si>
  <si>
    <t>Type:</t>
  </si>
  <si>
    <t>Calibration</t>
  </si>
  <si>
    <r>
      <t>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</si>
  <si>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Factor (CF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>)</t>
    </r>
  </si>
  <si>
    <r>
      <t>E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</si>
  <si>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Expected Ttl Bed</t>
  </si>
  <si>
    <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</si>
  <si>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x N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</si>
  <si>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CF</t>
    </r>
    <r>
      <rPr>
        <vertAlign val="subscript"/>
        <sz val="10"/>
        <rFont val="Arial"/>
        <family val="2"/>
      </rPr>
      <t>SB</t>
    </r>
    <r>
      <rPr>
        <sz val="10"/>
        <rFont val="Arial"/>
        <family val="2"/>
      </rPr>
      <t xml:space="preserve"> x (P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/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 x (L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/ E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</t>
    </r>
  </si>
  <si>
    <r>
      <t>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Form (bed) length</t>
    </r>
  </si>
  <si>
    <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Cross sectional area of bed (form)</t>
    </r>
  </si>
  <si>
    <r>
      <t>E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Modulus of elasticity of bed</t>
    </r>
  </si>
  <si>
    <r>
      <t>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Total design compressive force (in bed/form)</t>
    </r>
  </si>
  <si>
    <t/>
  </si>
  <si>
    <t>Revised 10/10/11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</si>
</sst>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_)"/>
    <numFmt numFmtId="170" formatCode="0.0000_)"/>
    <numFmt numFmtId="171" formatCode="0.00000000"/>
    <numFmt numFmtId="172" formatCode="0.000000000"/>
    <numFmt numFmtId="173" formatCode="mm/dd/yy_)"/>
    <numFmt numFmtId="174" formatCode="0.0_)"/>
    <numFmt numFmtId="175" formatCode="hh:mm_)"/>
    <numFmt numFmtId="176" formatCode="0.00_)"/>
    <numFmt numFmtId="177" formatCode="hh:mm\ AM/PM_)"/>
    <numFmt numFmtId="178" formatCode="0.000_)"/>
    <numFmt numFmtId="179" formatCode="#,##0.0_);\(#,##0.0\)"/>
    <numFmt numFmtId="180" formatCode="[$-409]dddd\,\ mmmm\ dd\,\ yyyy"/>
    <numFmt numFmtId="181" formatCode="m/d/yy;@"/>
    <numFmt numFmtId="182" formatCode="0.0"/>
    <numFmt numFmtId="183" formatCode="0_);\(0\)"/>
    <numFmt numFmtId="184" formatCode="#\ ??/16"/>
    <numFmt numFmtId="185" formatCode="#\ ?/8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8"/>
      <name val="Arial"/>
      <family val="2"/>
    </font>
    <font>
      <b/>
      <sz val="12"/>
      <color indexed="8"/>
      <name val="Arial MT"/>
      <family val="2"/>
    </font>
    <font>
      <sz val="8"/>
      <color indexed="18"/>
      <name val="Arial"/>
      <family val="2"/>
    </font>
    <font>
      <sz val="8"/>
      <name val="Arial MT"/>
      <family val="2"/>
    </font>
    <font>
      <sz val="10"/>
      <name val="Arial MT"/>
      <family val="2"/>
    </font>
    <font>
      <b/>
      <sz val="8"/>
      <name val="Arial MT"/>
      <family val="2"/>
    </font>
    <font>
      <b/>
      <sz val="14"/>
      <name val="Arial"/>
      <family val="2"/>
    </font>
    <font>
      <sz val="8"/>
      <color indexed="12"/>
      <name val="Courier"/>
      <family val="0"/>
    </font>
    <font>
      <b/>
      <sz val="8"/>
      <color indexed="12"/>
      <name val="Arial MT"/>
      <family val="2"/>
    </font>
    <font>
      <b/>
      <sz val="10"/>
      <color indexed="10"/>
      <name val="Arial"/>
      <family val="2"/>
    </font>
    <font>
      <sz val="10"/>
      <color indexed="14"/>
      <name val="Arial"/>
      <family val="0"/>
    </font>
    <font>
      <b/>
      <sz val="8"/>
      <name val="Arial"/>
      <family val="0"/>
    </font>
    <font>
      <sz val="8"/>
      <color indexed="14"/>
      <name val="Arial"/>
      <family val="0"/>
    </font>
    <font>
      <sz val="10"/>
      <color indexed="12"/>
      <name val="Arial"/>
      <family val="0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i/>
      <u val="single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vertAlign val="subscript"/>
      <sz val="10"/>
      <name val="Arial"/>
      <family val="2"/>
    </font>
    <font>
      <vertAlign val="subscript"/>
      <sz val="9"/>
      <name val="Arial"/>
      <family val="2"/>
    </font>
    <font>
      <vertAlign val="subscript"/>
      <sz val="10"/>
      <name val="Symbol"/>
      <family val="1"/>
    </font>
    <font>
      <b/>
      <vertAlign val="subscript"/>
      <sz val="10"/>
      <name val="Symbol"/>
      <family val="1"/>
    </font>
    <font>
      <vertAlign val="superscript"/>
      <sz val="10"/>
      <name val="Symbol"/>
      <family val="1"/>
    </font>
    <font>
      <b/>
      <vertAlign val="superscript"/>
      <sz val="10"/>
      <name val="Symbol"/>
      <family val="1"/>
    </font>
    <font>
      <b/>
      <vertAlign val="superscript"/>
      <sz val="10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0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2" fillId="35" borderId="13" xfId="0" applyFont="1" applyFill="1" applyBorder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  <xf numFmtId="0" fontId="2" fillId="35" borderId="14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35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 horizontal="center"/>
      <protection locked="0"/>
    </xf>
    <xf numFmtId="173" fontId="0" fillId="35" borderId="12" xfId="0" applyNumberFormat="1" applyFont="1" applyFill="1" applyBorder="1" applyAlignment="1" applyProtection="1">
      <alignment/>
      <protection locked="0"/>
    </xf>
    <xf numFmtId="0" fontId="0" fillId="35" borderId="16" xfId="0" applyFont="1" applyFill="1" applyBorder="1" applyAlignment="1" applyProtection="1">
      <alignment/>
      <protection locked="0"/>
    </xf>
    <xf numFmtId="0" fontId="2" fillId="35" borderId="16" xfId="0" applyFont="1" applyFill="1" applyBorder="1" applyAlignment="1" applyProtection="1">
      <alignment/>
      <protection locked="0"/>
    </xf>
    <xf numFmtId="0" fontId="0" fillId="35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168" fontId="0" fillId="0" borderId="10" xfId="0" applyNumberFormat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74" fontId="2" fillId="0" borderId="0" xfId="0" applyNumberFormat="1" applyFont="1" applyFill="1" applyBorder="1" applyAlignment="1" applyProtection="1">
      <alignment horizontal="center" vertical="center"/>
      <protection/>
    </xf>
    <xf numFmtId="16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170" fontId="2" fillId="33" borderId="18" xfId="0" applyNumberFormat="1" applyFont="1" applyFill="1" applyBorder="1" applyAlignment="1" applyProtection="1">
      <alignment/>
      <protection/>
    </xf>
    <xf numFmtId="170" fontId="2" fillId="33" borderId="19" xfId="0" applyNumberFormat="1" applyFont="1" applyFill="1" applyBorder="1" applyAlignment="1" applyProtection="1">
      <alignment/>
      <protection/>
    </xf>
    <xf numFmtId="170" fontId="2" fillId="33" borderId="20" xfId="0" applyNumberFormat="1" applyFont="1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7" borderId="0" xfId="0" applyFill="1" applyBorder="1" applyAlignment="1">
      <alignment/>
    </xf>
    <xf numFmtId="0" fontId="0" fillId="35" borderId="21" xfId="0" applyFont="1" applyFill="1" applyBorder="1" applyAlignment="1" applyProtection="1">
      <alignment/>
      <protection locked="0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2" fillId="38" borderId="0" xfId="0" applyFont="1" applyFill="1" applyAlignment="1">
      <alignment/>
    </xf>
    <xf numFmtId="0" fontId="0" fillId="38" borderId="0" xfId="0" applyFill="1" applyBorder="1" applyAlignment="1">
      <alignment/>
    </xf>
    <xf numFmtId="0" fontId="2" fillId="35" borderId="22" xfId="0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 applyProtection="1">
      <alignment/>
      <protection locked="0"/>
    </xf>
    <xf numFmtId="0" fontId="2" fillId="35" borderId="24" xfId="0" applyFont="1" applyFill="1" applyBorder="1" applyAlignment="1" applyProtection="1">
      <alignment horizontal="center"/>
      <protection locked="0"/>
    </xf>
    <xf numFmtId="0" fontId="0" fillId="35" borderId="25" xfId="0" applyFont="1" applyFill="1" applyBorder="1" applyAlignment="1" applyProtection="1">
      <alignment/>
      <protection locked="0"/>
    </xf>
    <xf numFmtId="0" fontId="0" fillId="35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16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5" borderId="26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right"/>
    </xf>
    <xf numFmtId="0" fontId="1" fillId="35" borderId="2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right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35" borderId="26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8" fontId="0" fillId="35" borderId="10" xfId="0" applyNumberFormat="1" applyFont="1" applyFill="1" applyBorder="1" applyAlignment="1" applyProtection="1">
      <alignment horizontal="center"/>
      <protection locked="0"/>
    </xf>
    <xf numFmtId="0" fontId="0" fillId="39" borderId="16" xfId="0" applyFont="1" applyFill="1" applyBorder="1" applyAlignment="1" applyProtection="1">
      <alignment/>
      <protection/>
    </xf>
    <xf numFmtId="0" fontId="0" fillId="39" borderId="28" xfId="0" applyFont="1" applyFill="1" applyBorder="1" applyAlignment="1" applyProtection="1">
      <alignment/>
      <protection/>
    </xf>
    <xf numFmtId="0" fontId="0" fillId="39" borderId="15" xfId="0" applyFont="1" applyFill="1" applyBorder="1" applyAlignment="1" applyProtection="1">
      <alignment/>
      <protection/>
    </xf>
    <xf numFmtId="39" fontId="0" fillId="35" borderId="12" xfId="0" applyNumberFormat="1" applyFont="1" applyFill="1" applyBorder="1" applyAlignment="1" applyProtection="1">
      <alignment horizontal="center"/>
      <protection locked="0"/>
    </xf>
    <xf numFmtId="173" fontId="0" fillId="35" borderId="12" xfId="0" applyNumberFormat="1" applyFont="1" applyFill="1" applyBorder="1" applyAlignment="1" applyProtection="1">
      <alignment horizontal="center"/>
      <protection locked="0"/>
    </xf>
    <xf numFmtId="179" fontId="0" fillId="35" borderId="12" xfId="0" applyNumberFormat="1" applyFont="1" applyFill="1" applyBorder="1" applyAlignment="1" applyProtection="1">
      <alignment horizontal="center"/>
      <protection locked="0"/>
    </xf>
    <xf numFmtId="179" fontId="0" fillId="35" borderId="29" xfId="0" applyNumberFormat="1" applyFont="1" applyFill="1" applyBorder="1" applyAlignment="1" applyProtection="1">
      <alignment horizontal="center"/>
      <protection locked="0"/>
    </xf>
    <xf numFmtId="174" fontId="0" fillId="35" borderId="12" xfId="0" applyNumberFormat="1" applyFont="1" applyFill="1" applyBorder="1" applyAlignment="1" applyProtection="1">
      <alignment horizontal="center"/>
      <protection locked="0"/>
    </xf>
    <xf numFmtId="173" fontId="0" fillId="0" borderId="12" xfId="0" applyNumberFormat="1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77" fontId="0" fillId="35" borderId="12" xfId="0" applyNumberFormat="1" applyFont="1" applyFill="1" applyBorder="1" applyAlignment="1" applyProtection="1">
      <alignment horizontal="center" vertical="center"/>
      <protection locked="0"/>
    </xf>
    <xf numFmtId="174" fontId="0" fillId="35" borderId="12" xfId="0" applyNumberFormat="1" applyFont="1" applyFill="1" applyBorder="1" applyAlignment="1" applyProtection="1">
      <alignment horizontal="center" vertical="center"/>
      <protection locked="0"/>
    </xf>
    <xf numFmtId="176" fontId="0" fillId="35" borderId="11" xfId="0" applyNumberFormat="1" applyFont="1" applyFill="1" applyBorder="1" applyAlignment="1" applyProtection="1">
      <alignment horizontal="center" vertical="center"/>
      <protection locked="0"/>
    </xf>
    <xf numFmtId="174" fontId="0" fillId="35" borderId="29" xfId="0" applyNumberFormat="1" applyFont="1" applyFill="1" applyBorder="1" applyAlignment="1" applyProtection="1">
      <alignment horizontal="center" vertical="center"/>
      <protection locked="0"/>
    </xf>
    <xf numFmtId="37" fontId="0" fillId="35" borderId="11" xfId="0" applyNumberFormat="1" applyFont="1" applyFill="1" applyBorder="1" applyAlignment="1" applyProtection="1">
      <alignment horizontal="center" vertical="center"/>
      <protection locked="0"/>
    </xf>
    <xf numFmtId="173" fontId="0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 vertical="center"/>
    </xf>
    <xf numFmtId="177" fontId="0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 horizontal="center"/>
      <protection/>
    </xf>
    <xf numFmtId="0" fontId="2" fillId="37" borderId="0" xfId="0" applyFont="1" applyFill="1" applyBorder="1" applyAlignment="1" applyProtection="1">
      <alignment horizontal="left"/>
      <protection/>
    </xf>
    <xf numFmtId="167" fontId="2" fillId="37" borderId="0" xfId="0" applyNumberFormat="1" applyFont="1" applyFill="1" applyBorder="1" applyAlignment="1" applyProtection="1">
      <alignment horizontal="center"/>
      <protection/>
    </xf>
    <xf numFmtId="0" fontId="2" fillId="37" borderId="0" xfId="0" applyFont="1" applyFill="1" applyBorder="1" applyAlignment="1" applyProtection="1" quotePrefix="1">
      <alignment horizontal="center"/>
      <protection/>
    </xf>
    <xf numFmtId="167" fontId="2" fillId="37" borderId="0" xfId="0" applyNumberFormat="1" applyFont="1" applyFill="1" applyBorder="1" applyAlignment="1" applyProtection="1">
      <alignment/>
      <protection/>
    </xf>
    <xf numFmtId="0" fontId="0" fillId="37" borderId="0" xfId="0" applyFill="1" applyAlignment="1">
      <alignment/>
    </xf>
    <xf numFmtId="0" fontId="0" fillId="35" borderId="30" xfId="0" applyFon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35" borderId="17" xfId="0" applyFont="1" applyFill="1" applyBorder="1" applyAlignment="1" applyProtection="1">
      <alignment horizontal="left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horizontal="center" vertical="center"/>
      <protection/>
    </xf>
    <xf numFmtId="37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/>
    </xf>
    <xf numFmtId="0" fontId="27" fillId="37" borderId="0" xfId="0" applyFont="1" applyFill="1" applyBorder="1" applyAlignment="1" applyProtection="1">
      <alignment/>
      <protection/>
    </xf>
    <xf numFmtId="0" fontId="2" fillId="40" borderId="12" xfId="0" applyFont="1" applyFill="1" applyBorder="1" applyAlignment="1" applyProtection="1">
      <alignment/>
      <protection locked="0"/>
    </xf>
    <xf numFmtId="0" fontId="2" fillId="40" borderId="11" xfId="0" applyFont="1" applyFill="1" applyBorder="1" applyAlignment="1" applyProtection="1">
      <alignment/>
      <protection locked="0"/>
    </xf>
    <xf numFmtId="0" fontId="2" fillId="40" borderId="32" xfId="0" applyFont="1" applyFill="1" applyBorder="1" applyAlignment="1" applyProtection="1">
      <alignment/>
      <protection locked="0"/>
    </xf>
    <xf numFmtId="0" fontId="2" fillId="40" borderId="13" xfId="0" applyFont="1" applyFill="1" applyBorder="1" applyAlignment="1" applyProtection="1">
      <alignment/>
      <protection locked="0"/>
    </xf>
    <xf numFmtId="0" fontId="2" fillId="40" borderId="0" xfId="0" applyFont="1" applyFill="1" applyAlignment="1" applyProtection="1">
      <alignment/>
      <protection locked="0"/>
    </xf>
    <xf numFmtId="0" fontId="28" fillId="37" borderId="0" xfId="0" applyFont="1" applyFill="1" applyAlignment="1">
      <alignment/>
    </xf>
    <xf numFmtId="49" fontId="0" fillId="35" borderId="10" xfId="0" applyNumberFormat="1" applyFont="1" applyFill="1" applyBorder="1" applyAlignment="1" applyProtection="1">
      <alignment horizontal="center"/>
      <protection locked="0"/>
    </xf>
    <xf numFmtId="18" fontId="0" fillId="35" borderId="10" xfId="0" applyNumberFormat="1" applyFont="1" applyFill="1" applyBorder="1" applyAlignment="1" applyProtection="1">
      <alignment horizontal="center"/>
      <protection locked="0"/>
    </xf>
    <xf numFmtId="20" fontId="0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27" xfId="0" applyNumberFormat="1" applyFont="1" applyFill="1" applyBorder="1" applyAlignment="1" applyProtection="1">
      <alignment horizontal="center" vertical="center"/>
      <protection locked="0"/>
    </xf>
    <xf numFmtId="0" fontId="2" fillId="39" borderId="0" xfId="0" applyFont="1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5" borderId="17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9" fontId="2" fillId="0" borderId="0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0" fillId="41" borderId="1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8" fontId="0" fillId="35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6" fontId="2" fillId="33" borderId="33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2" fillId="38" borderId="0" xfId="0" applyFont="1" applyFill="1" applyBorder="1" applyAlignment="1" applyProtection="1">
      <alignment horizontal="left"/>
      <protection locked="0"/>
    </xf>
    <xf numFmtId="0" fontId="0" fillId="38" borderId="10" xfId="0" applyFill="1" applyBorder="1" applyAlignment="1">
      <alignment horizontal="center"/>
    </xf>
    <xf numFmtId="0" fontId="2" fillId="40" borderId="12" xfId="0" applyFont="1" applyFill="1" applyBorder="1" applyAlignment="1" applyProtection="1">
      <alignment horizontal="left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1" fillId="0" borderId="34" xfId="0" applyFont="1" applyFill="1" applyBorder="1" applyAlignment="1" applyProtection="1">
      <alignment horizontal="center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35" borderId="0" xfId="0" applyFont="1" applyFill="1" applyAlignment="1" applyProtection="1">
      <alignment/>
      <protection locked="0"/>
    </xf>
    <xf numFmtId="0" fontId="2" fillId="33" borderId="4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 locked="0"/>
    </xf>
    <xf numFmtId="0" fontId="0" fillId="35" borderId="42" xfId="0" applyNumberFormat="1" applyFont="1" applyFill="1" applyBorder="1" applyAlignment="1" applyProtection="1">
      <alignment horizontal="center"/>
      <protection locked="0"/>
    </xf>
    <xf numFmtId="0" fontId="2" fillId="37" borderId="12" xfId="0" applyFont="1" applyFill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/>
      <protection/>
    </xf>
    <xf numFmtId="0" fontId="39" fillId="42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14" fontId="1" fillId="35" borderId="10" xfId="0" applyNumberFormat="1" applyFont="1" applyFill="1" applyBorder="1" applyAlignment="1" applyProtection="1">
      <alignment horizontal="center"/>
      <protection locked="0"/>
    </xf>
    <xf numFmtId="0" fontId="0" fillId="35" borderId="43" xfId="0" applyFont="1" applyFill="1" applyBorder="1" applyAlignment="1" applyProtection="1">
      <alignment horizontal="center"/>
      <protection locked="0"/>
    </xf>
    <xf numFmtId="0" fontId="0" fillId="35" borderId="40" xfId="0" applyFon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 applyProtection="1">
      <alignment horizontal="center"/>
      <protection locked="0"/>
    </xf>
    <xf numFmtId="0" fontId="0" fillId="35" borderId="46" xfId="0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0" fillId="35" borderId="47" xfId="0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>
      <alignment horizontal="center"/>
    </xf>
    <xf numFmtId="0" fontId="0" fillId="35" borderId="49" xfId="0" applyFont="1" applyFill="1" applyBorder="1" applyAlignment="1" applyProtection="1">
      <alignment/>
      <protection locked="0"/>
    </xf>
    <xf numFmtId="0" fontId="0" fillId="35" borderId="29" xfId="0" applyFont="1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/>
      <protection locked="0"/>
    </xf>
    <xf numFmtId="0" fontId="0" fillId="35" borderId="50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/>
    </xf>
    <xf numFmtId="0" fontId="2" fillId="35" borderId="15" xfId="0" applyFont="1" applyFill="1" applyBorder="1" applyAlignment="1" applyProtection="1">
      <alignment horizontal="center"/>
      <protection locked="0"/>
    </xf>
    <xf numFmtId="0" fontId="2" fillId="35" borderId="51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169" fontId="0" fillId="35" borderId="29" xfId="0" applyNumberFormat="1" applyFont="1" applyFill="1" applyBorder="1" applyAlignment="1" applyProtection="1">
      <alignment horizontal="center" vertical="center"/>
      <protection locked="0"/>
    </xf>
    <xf numFmtId="174" fontId="0" fillId="35" borderId="52" xfId="0" applyNumberFormat="1" applyFont="1" applyFill="1" applyBorder="1" applyAlignment="1" applyProtection="1">
      <alignment horizontal="center" vertical="center"/>
      <protection locked="0"/>
    </xf>
    <xf numFmtId="169" fontId="2" fillId="0" borderId="0" xfId="0" applyNumberFormat="1" applyFont="1" applyBorder="1" applyAlignment="1">
      <alignment/>
    </xf>
    <xf numFmtId="174" fontId="0" fillId="35" borderId="53" xfId="0" applyNumberFormat="1" applyFont="1" applyFill="1" applyBorder="1" applyAlignment="1" applyProtection="1">
      <alignment horizontal="center" vertical="center"/>
      <protection locked="0"/>
    </xf>
    <xf numFmtId="176" fontId="0" fillId="35" borderId="15" xfId="0" applyNumberFormat="1" applyFont="1" applyFill="1" applyBorder="1" applyAlignment="1" applyProtection="1">
      <alignment horizontal="center" vertical="center"/>
      <protection locked="0"/>
    </xf>
    <xf numFmtId="174" fontId="0" fillId="35" borderId="15" xfId="0" applyNumberFormat="1" applyFont="1" applyFill="1" applyBorder="1" applyAlignment="1" applyProtection="1">
      <alignment horizontal="center" vertical="center"/>
      <protection locked="0"/>
    </xf>
    <xf numFmtId="174" fontId="0" fillId="35" borderId="50" xfId="0" applyNumberFormat="1" applyFont="1" applyFill="1" applyBorder="1" applyAlignment="1" applyProtection="1">
      <alignment horizontal="center" vertical="center"/>
      <protection locked="0"/>
    </xf>
    <xf numFmtId="0" fontId="0" fillId="35" borderId="49" xfId="0" applyNumberFormat="1" applyFont="1" applyFill="1" applyBorder="1" applyAlignment="1" applyProtection="1">
      <alignment horizontal="center" vertical="center"/>
      <protection locked="0"/>
    </xf>
    <xf numFmtId="173" fontId="0" fillId="35" borderId="15" xfId="0" applyNumberFormat="1" applyFont="1" applyFill="1" applyBorder="1" applyAlignment="1" applyProtection="1">
      <alignment horizontal="center" vertical="center"/>
      <protection locked="0"/>
    </xf>
    <xf numFmtId="169" fontId="0" fillId="35" borderId="15" xfId="0" applyNumberFormat="1" applyFont="1" applyFill="1" applyBorder="1" applyAlignment="1" applyProtection="1">
      <alignment horizontal="center" vertical="center"/>
      <protection locked="0"/>
    </xf>
    <xf numFmtId="20" fontId="0" fillId="35" borderId="11" xfId="0" applyNumberFormat="1" applyFont="1" applyFill="1" applyBorder="1" applyAlignment="1" applyProtection="1">
      <alignment horizontal="center" vertical="center"/>
      <protection locked="0"/>
    </xf>
    <xf numFmtId="20" fontId="0" fillId="35" borderId="29" xfId="0" applyNumberFormat="1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177" fontId="0" fillId="35" borderId="16" xfId="0" applyNumberFormat="1" applyFont="1" applyFill="1" applyBorder="1" applyAlignment="1" applyProtection="1">
      <alignment horizontal="center" vertical="center"/>
      <protection locked="0"/>
    </xf>
    <xf numFmtId="174" fontId="0" fillId="35" borderId="16" xfId="0" applyNumberFormat="1" applyFont="1" applyFill="1" applyBorder="1" applyAlignment="1" applyProtection="1">
      <alignment horizontal="center" vertical="center"/>
      <protection locked="0"/>
    </xf>
    <xf numFmtId="174" fontId="0" fillId="35" borderId="31" xfId="0" applyNumberFormat="1" applyFont="1" applyFill="1" applyBorder="1" applyAlignment="1" applyProtection="1">
      <alignment horizontal="center" vertical="center"/>
      <protection locked="0"/>
    </xf>
    <xf numFmtId="174" fontId="0" fillId="35" borderId="54" xfId="0" applyNumberFormat="1" applyFont="1" applyFill="1" applyBorder="1" applyAlignment="1" applyProtection="1">
      <alignment horizontal="center" vertical="center"/>
      <protection locked="0"/>
    </xf>
    <xf numFmtId="176" fontId="0" fillId="35" borderId="25" xfId="0" applyNumberFormat="1" applyFont="1" applyFill="1" applyBorder="1" applyAlignment="1" applyProtection="1">
      <alignment horizontal="center" vertical="center"/>
      <protection locked="0"/>
    </xf>
    <xf numFmtId="37" fontId="0" fillId="35" borderId="25" xfId="0" applyNumberFormat="1" applyFont="1" applyFill="1" applyBorder="1" applyAlignment="1" applyProtection="1">
      <alignment horizontal="center" vertical="center"/>
      <protection locked="0"/>
    </xf>
    <xf numFmtId="173" fontId="0" fillId="35" borderId="25" xfId="0" applyNumberFormat="1" applyFont="1" applyFill="1" applyBorder="1" applyAlignment="1" applyProtection="1">
      <alignment horizontal="center" vertical="center"/>
      <protection locked="0"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5" borderId="55" xfId="0" applyFont="1" applyFill="1" applyBorder="1" applyAlignment="1" applyProtection="1">
      <alignment horizontal="center" vertical="center"/>
      <protection locked="0"/>
    </xf>
    <xf numFmtId="177" fontId="0" fillId="35" borderId="55" xfId="0" applyNumberFormat="1" applyFont="1" applyFill="1" applyBorder="1" applyAlignment="1" applyProtection="1">
      <alignment horizontal="center" vertical="center"/>
      <protection locked="0"/>
    </xf>
    <xf numFmtId="169" fontId="0" fillId="35" borderId="56" xfId="0" applyNumberFormat="1" applyFont="1" applyFill="1" applyBorder="1" applyAlignment="1" applyProtection="1">
      <alignment horizontal="center" vertical="center"/>
      <protection locked="0"/>
    </xf>
    <xf numFmtId="174" fontId="0" fillId="35" borderId="57" xfId="0" applyNumberFormat="1" applyFont="1" applyFill="1" applyBorder="1" applyAlignment="1" applyProtection="1">
      <alignment horizontal="center" vertical="center"/>
      <protection locked="0"/>
    </xf>
    <xf numFmtId="176" fontId="0" fillId="35" borderId="55" xfId="0" applyNumberFormat="1" applyFont="1" applyFill="1" applyBorder="1" applyAlignment="1" applyProtection="1">
      <alignment horizontal="center" vertical="center"/>
      <protection locked="0"/>
    </xf>
    <xf numFmtId="174" fontId="0" fillId="35" borderId="55" xfId="0" applyNumberFormat="1" applyFont="1" applyFill="1" applyBorder="1" applyAlignment="1" applyProtection="1">
      <alignment horizontal="center" vertical="center"/>
      <protection locked="0"/>
    </xf>
    <xf numFmtId="174" fontId="0" fillId="35" borderId="56" xfId="0" applyNumberFormat="1" applyFont="1" applyFill="1" applyBorder="1" applyAlignment="1" applyProtection="1">
      <alignment horizontal="center" vertical="center"/>
      <protection locked="0"/>
    </xf>
    <xf numFmtId="0" fontId="0" fillId="35" borderId="58" xfId="0" applyNumberFormat="1" applyFont="1" applyFill="1" applyBorder="1" applyAlignment="1" applyProtection="1">
      <alignment horizontal="center" vertical="center"/>
      <protection locked="0"/>
    </xf>
    <xf numFmtId="173" fontId="0" fillId="35" borderId="55" xfId="0" applyNumberFormat="1" applyFont="1" applyFill="1" applyBorder="1" applyAlignment="1" applyProtection="1">
      <alignment horizontal="center" vertical="center"/>
      <protection locked="0"/>
    </xf>
    <xf numFmtId="169" fontId="0" fillId="35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/>
    </xf>
    <xf numFmtId="37" fontId="0" fillId="0" borderId="6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20" fontId="0" fillId="35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174" fontId="18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9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Border="1" applyAlignment="1" applyProtection="1">
      <alignment horizontal="center" vertical="center"/>
      <protection locked="0"/>
    </xf>
    <xf numFmtId="169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174" fontId="0" fillId="0" borderId="0" xfId="0" applyNumberFormat="1" applyFont="1" applyFill="1" applyBorder="1" applyAlignment="1" applyProtection="1">
      <alignment horizontal="center" vertical="center"/>
      <protection locked="0"/>
    </xf>
    <xf numFmtId="3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right" vertical="center"/>
    </xf>
    <xf numFmtId="0" fontId="0" fillId="35" borderId="55" xfId="0" applyNumberFormat="1" applyFont="1" applyFill="1" applyBorder="1" applyAlignment="1" applyProtection="1">
      <alignment horizontal="center" vertical="center"/>
      <protection locked="0"/>
    </xf>
    <xf numFmtId="20" fontId="0" fillId="0" borderId="61" xfId="0" applyNumberFormat="1" applyFont="1" applyFill="1" applyBorder="1" applyAlignment="1" applyProtection="1">
      <alignment horizontal="center" vertical="center"/>
      <protection locked="0"/>
    </xf>
    <xf numFmtId="174" fontId="0" fillId="35" borderId="62" xfId="0" applyNumberFormat="1" applyFont="1" applyFill="1" applyBorder="1" applyAlignment="1" applyProtection="1">
      <alignment horizontal="center" vertical="center"/>
      <protection locked="0"/>
    </xf>
    <xf numFmtId="20" fontId="0" fillId="35" borderId="63" xfId="0" applyNumberFormat="1" applyFont="1" applyFill="1" applyBorder="1" applyAlignment="1" applyProtection="1">
      <alignment horizontal="center" vertical="center"/>
      <protection locked="0"/>
    </xf>
    <xf numFmtId="174" fontId="0" fillId="35" borderId="64" xfId="0" applyNumberFormat="1" applyFont="1" applyFill="1" applyBorder="1" applyAlignment="1" applyProtection="1">
      <alignment horizontal="center" vertical="center"/>
      <protection locked="0"/>
    </xf>
    <xf numFmtId="174" fontId="0" fillId="35" borderId="65" xfId="0" applyNumberFormat="1" applyFont="1" applyFill="1" applyBorder="1" applyAlignment="1" applyProtection="1">
      <alignment horizontal="center" vertical="center"/>
      <protection locked="0"/>
    </xf>
    <xf numFmtId="174" fontId="0" fillId="35" borderId="63" xfId="0" applyNumberFormat="1" applyFont="1" applyFill="1" applyBorder="1" applyAlignment="1" applyProtection="1">
      <alignment horizontal="center" vertical="center"/>
      <protection locked="0"/>
    </xf>
    <xf numFmtId="174" fontId="0" fillId="35" borderId="66" xfId="0" applyNumberFormat="1" applyFont="1" applyFill="1" applyBorder="1" applyAlignment="1" applyProtection="1">
      <alignment horizontal="center" vertical="center"/>
      <protection locked="0"/>
    </xf>
    <xf numFmtId="20" fontId="0" fillId="35" borderId="67" xfId="0" applyNumberFormat="1" applyFont="1" applyFill="1" applyBorder="1" applyAlignment="1" applyProtection="1">
      <alignment horizontal="center" vertical="center"/>
      <protection locked="0"/>
    </xf>
    <xf numFmtId="174" fontId="0" fillId="35" borderId="68" xfId="0" applyNumberFormat="1" applyFont="1" applyFill="1" applyBorder="1" applyAlignment="1" applyProtection="1">
      <alignment horizontal="center" vertical="center"/>
      <protection locked="0"/>
    </xf>
    <xf numFmtId="174" fontId="0" fillId="35" borderId="69" xfId="0" applyNumberFormat="1" applyFont="1" applyFill="1" applyBorder="1" applyAlignment="1" applyProtection="1">
      <alignment horizontal="center" vertical="center"/>
      <protection locked="0"/>
    </xf>
    <xf numFmtId="174" fontId="0" fillId="35" borderId="70" xfId="0" applyNumberFormat="1" applyFont="1" applyFill="1" applyBorder="1" applyAlignment="1" applyProtection="1">
      <alignment horizontal="center" vertical="center"/>
      <protection locked="0"/>
    </xf>
    <xf numFmtId="0" fontId="0" fillId="0" borderId="71" xfId="0" applyFont="1" applyFill="1" applyBorder="1" applyAlignment="1" applyProtection="1">
      <alignment horizontal="center"/>
      <protection/>
    </xf>
    <xf numFmtId="174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8" fontId="0" fillId="0" borderId="72" xfId="0" applyNumberFormat="1" applyFont="1" applyFill="1" applyBorder="1" applyAlignment="1" applyProtection="1">
      <alignment horizontal="center"/>
      <protection/>
    </xf>
    <xf numFmtId="0" fontId="0" fillId="0" borderId="72" xfId="0" applyFont="1" applyFill="1" applyBorder="1" applyAlignment="1" applyProtection="1">
      <alignment horizontal="center"/>
      <protection/>
    </xf>
    <xf numFmtId="174" fontId="1" fillId="0" borderId="0" xfId="0" applyNumberFormat="1" applyFont="1" applyFill="1" applyBorder="1" applyAlignment="1" applyProtection="1">
      <alignment horizontal="center"/>
      <protection/>
    </xf>
    <xf numFmtId="175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 applyProtection="1">
      <alignment horizontal="center" vertical="center"/>
      <protection/>
    </xf>
    <xf numFmtId="175" fontId="0" fillId="0" borderId="0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 applyProtection="1">
      <alignment horizontal="center"/>
      <protection/>
    </xf>
    <xf numFmtId="14" fontId="0" fillId="35" borderId="10" xfId="0" applyNumberFormat="1" applyFont="1" applyFill="1" applyBorder="1" applyAlignment="1" applyProtection="1">
      <alignment horizontal="center"/>
      <protection locked="0"/>
    </xf>
    <xf numFmtId="14" fontId="0" fillId="0" borderId="73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>
      <alignment horizont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 locked="0"/>
    </xf>
    <xf numFmtId="0" fontId="0" fillId="35" borderId="41" xfId="0" applyFont="1" applyFill="1" applyBorder="1" applyAlignment="1" applyProtection="1">
      <alignment/>
      <protection locked="0"/>
    </xf>
    <xf numFmtId="0" fontId="0" fillId="35" borderId="74" xfId="0" applyFont="1" applyFill="1" applyBorder="1" applyAlignment="1" applyProtection="1">
      <alignment/>
      <protection locked="0"/>
    </xf>
    <xf numFmtId="177" fontId="0" fillId="35" borderId="25" xfId="0" applyNumberFormat="1" applyFont="1" applyFill="1" applyBorder="1" applyAlignment="1" applyProtection="1">
      <alignment horizontal="center" vertical="center"/>
      <protection locked="0"/>
    </xf>
    <xf numFmtId="0" fontId="0" fillId="35" borderId="75" xfId="0" applyFont="1" applyFill="1" applyBorder="1" applyAlignment="1" applyProtection="1">
      <alignment horizontal="center" vertical="center"/>
      <protection locked="0"/>
    </xf>
    <xf numFmtId="0" fontId="0" fillId="35" borderId="76" xfId="0" applyFont="1" applyFill="1" applyBorder="1" applyAlignment="1" applyProtection="1">
      <alignment horizontal="center" vertical="center"/>
      <protection locked="0"/>
    </xf>
    <xf numFmtId="0" fontId="0" fillId="35" borderId="50" xfId="0" applyFont="1" applyFill="1" applyBorder="1" applyAlignment="1" applyProtection="1">
      <alignment horizontal="center" vertical="center"/>
      <protection locked="0"/>
    </xf>
    <xf numFmtId="0" fontId="0" fillId="35" borderId="49" xfId="0" applyFont="1" applyFill="1" applyBorder="1" applyAlignment="1" applyProtection="1">
      <alignment horizontal="center" vertical="center"/>
      <protection locked="0"/>
    </xf>
    <xf numFmtId="0" fontId="0" fillId="35" borderId="77" xfId="0" applyFont="1" applyFill="1" applyBorder="1" applyAlignment="1" applyProtection="1">
      <alignment horizontal="center" vertical="center"/>
      <protection locked="0"/>
    </xf>
    <xf numFmtId="0" fontId="0" fillId="35" borderId="78" xfId="0" applyFont="1" applyFill="1" applyBorder="1" applyAlignment="1" applyProtection="1">
      <alignment horizontal="center" vertical="center"/>
      <protection locked="0"/>
    </xf>
    <xf numFmtId="0" fontId="0" fillId="35" borderId="79" xfId="0" applyFont="1" applyFill="1" applyBorder="1" applyAlignment="1" applyProtection="1">
      <alignment/>
      <protection locked="0"/>
    </xf>
    <xf numFmtId="0" fontId="0" fillId="35" borderId="80" xfId="0" applyFont="1" applyFill="1" applyBorder="1" applyAlignment="1" applyProtection="1">
      <alignment/>
      <protection locked="0"/>
    </xf>
    <xf numFmtId="0" fontId="0" fillId="35" borderId="81" xfId="0" applyFont="1" applyFill="1" applyBorder="1" applyAlignment="1" applyProtection="1">
      <alignment/>
      <protection locked="0"/>
    </xf>
    <xf numFmtId="0" fontId="0" fillId="35" borderId="82" xfId="0" applyFont="1" applyFill="1" applyBorder="1" applyAlignment="1" applyProtection="1">
      <alignment/>
      <protection locked="0"/>
    </xf>
    <xf numFmtId="0" fontId="0" fillId="35" borderId="58" xfId="0" applyFont="1" applyFill="1" applyBorder="1" applyAlignment="1" applyProtection="1">
      <alignment horizontal="center" vertical="center"/>
      <protection locked="0"/>
    </xf>
    <xf numFmtId="0" fontId="0" fillId="35" borderId="56" xfId="0" applyFont="1" applyFill="1" applyBorder="1" applyAlignment="1" applyProtection="1">
      <alignment horizontal="center" vertical="center"/>
      <protection locked="0"/>
    </xf>
    <xf numFmtId="0" fontId="0" fillId="35" borderId="83" xfId="0" applyFont="1" applyFill="1" applyBorder="1" applyAlignment="1" applyProtection="1">
      <alignment horizontal="center" vertical="center"/>
      <protection locked="0"/>
    </xf>
    <xf numFmtId="0" fontId="0" fillId="35" borderId="84" xfId="0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0" fontId="0" fillId="35" borderId="56" xfId="0" applyFont="1" applyFill="1" applyBorder="1" applyAlignment="1" applyProtection="1">
      <alignment/>
      <protection locked="0"/>
    </xf>
    <xf numFmtId="0" fontId="0" fillId="35" borderId="58" xfId="0" applyFont="1" applyFill="1" applyBorder="1" applyAlignment="1" applyProtection="1">
      <alignment/>
      <protection locked="0"/>
    </xf>
    <xf numFmtId="0" fontId="0" fillId="35" borderId="75" xfId="0" applyFont="1" applyFill="1" applyBorder="1" applyAlignment="1" applyProtection="1">
      <alignment/>
      <protection locked="0"/>
    </xf>
    <xf numFmtId="0" fontId="0" fillId="35" borderId="76" xfId="0" applyFont="1" applyFill="1" applyBorder="1" applyAlignment="1" applyProtection="1">
      <alignment/>
      <protection locked="0"/>
    </xf>
    <xf numFmtId="0" fontId="0" fillId="35" borderId="85" xfId="0" applyFont="1" applyFill="1" applyBorder="1" applyAlignment="1" applyProtection="1">
      <alignment/>
      <protection locked="0"/>
    </xf>
    <xf numFmtId="0" fontId="0" fillId="35" borderId="86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8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0" fontId="1" fillId="35" borderId="8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8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90" xfId="0" applyFont="1" applyFill="1" applyBorder="1" applyAlignment="1" applyProtection="1">
      <alignment horizontal="center" vertical="center"/>
      <protection/>
    </xf>
    <xf numFmtId="0" fontId="1" fillId="0" borderId="91" xfId="0" applyFont="1" applyFill="1" applyBorder="1" applyAlignment="1" applyProtection="1">
      <alignment horizontal="center" vertical="center"/>
      <protection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175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 textRotation="180"/>
      <protection/>
    </xf>
    <xf numFmtId="0" fontId="1" fillId="0" borderId="0" xfId="0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79" xfId="0" applyFont="1" applyFill="1" applyBorder="1" applyAlignment="1" applyProtection="1">
      <alignment vertical="center"/>
      <protection/>
    </xf>
    <xf numFmtId="0" fontId="0" fillId="0" borderId="8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0" fillId="0" borderId="92" xfId="0" applyFont="1" applyFill="1" applyBorder="1" applyAlignment="1" applyProtection="1">
      <alignment vertical="center"/>
      <protection/>
    </xf>
    <xf numFmtId="0" fontId="2" fillId="35" borderId="49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93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94" xfId="0" applyFont="1" applyFill="1" applyBorder="1" applyAlignment="1" applyProtection="1">
      <alignment horizontal="center"/>
      <protection locked="0"/>
    </xf>
    <xf numFmtId="0" fontId="0" fillId="35" borderId="45" xfId="0" applyFont="1" applyFill="1" applyBorder="1" applyAlignment="1" applyProtection="1">
      <alignment horizontal="center"/>
      <protection locked="0"/>
    </xf>
    <xf numFmtId="0" fontId="2" fillId="35" borderId="32" xfId="0" applyFont="1" applyFill="1" applyBorder="1" applyAlignment="1" applyProtection="1">
      <alignment/>
      <protection locked="0"/>
    </xf>
    <xf numFmtId="0" fontId="1" fillId="0" borderId="95" xfId="0" applyFont="1" applyFill="1" applyBorder="1" applyAlignment="1" applyProtection="1">
      <alignment horizontal="center" vertical="center"/>
      <protection/>
    </xf>
    <xf numFmtId="0" fontId="1" fillId="0" borderId="96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/>
      <protection locked="0"/>
    </xf>
    <xf numFmtId="1" fontId="0" fillId="35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1" fontId="1" fillId="0" borderId="74" xfId="0" applyNumberFormat="1" applyFont="1" applyFill="1" applyBorder="1" applyAlignment="1" applyProtection="1">
      <alignment horizontal="center"/>
      <protection/>
    </xf>
    <xf numFmtId="0" fontId="0" fillId="38" borderId="0" xfId="0" applyFill="1" applyAlignment="1" applyProtection="1">
      <alignment/>
      <protection/>
    </xf>
    <xf numFmtId="0" fontId="3" fillId="43" borderId="97" xfId="0" applyFont="1" applyFill="1" applyBorder="1" applyAlignment="1" applyProtection="1">
      <alignment/>
      <protection/>
    </xf>
    <xf numFmtId="0" fontId="0" fillId="43" borderId="98" xfId="0" applyFont="1" applyFill="1" applyBorder="1" applyAlignment="1" applyProtection="1">
      <alignment/>
      <protection/>
    </xf>
    <xf numFmtId="0" fontId="0" fillId="43" borderId="98" xfId="0" applyFill="1" applyBorder="1" applyAlignment="1" applyProtection="1">
      <alignment/>
      <protection/>
    </xf>
    <xf numFmtId="0" fontId="0" fillId="43" borderId="99" xfId="0" applyFill="1" applyBorder="1" applyAlignment="1" applyProtection="1">
      <alignment/>
      <protection/>
    </xf>
    <xf numFmtId="0" fontId="8" fillId="38" borderId="0" xfId="0" applyFont="1" applyFill="1" applyBorder="1" applyAlignment="1" applyProtection="1">
      <alignment/>
      <protection/>
    </xf>
    <xf numFmtId="0" fontId="0" fillId="43" borderId="21" xfId="0" applyFont="1" applyFill="1" applyBorder="1" applyAlignment="1" applyProtection="1">
      <alignment horizontal="right"/>
      <protection/>
    </xf>
    <xf numFmtId="0" fontId="0" fillId="43" borderId="0" xfId="0" applyFont="1" applyFill="1" applyBorder="1" applyAlignment="1" applyProtection="1">
      <alignment horizontal="center"/>
      <protection/>
    </xf>
    <xf numFmtId="0" fontId="0" fillId="43" borderId="10" xfId="0" applyFont="1" applyFill="1" applyBorder="1" applyAlignment="1" applyProtection="1">
      <alignment/>
      <protection/>
    </xf>
    <xf numFmtId="0" fontId="0" fillId="36" borderId="100" xfId="0" applyFont="1" applyFill="1" applyBorder="1" applyAlignment="1" applyProtection="1">
      <alignment/>
      <protection/>
    </xf>
    <xf numFmtId="0" fontId="0" fillId="43" borderId="101" xfId="0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/>
      <protection/>
    </xf>
    <xf numFmtId="0" fontId="0" fillId="36" borderId="22" xfId="0" applyFont="1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0" fillId="38" borderId="0" xfId="0" applyFill="1" applyBorder="1" applyAlignment="1" applyProtection="1">
      <alignment/>
      <protection/>
    </xf>
    <xf numFmtId="0" fontId="0" fillId="43" borderId="10" xfId="0" applyFill="1" applyBorder="1" applyAlignment="1" applyProtection="1">
      <alignment horizontal="right"/>
      <protection/>
    </xf>
    <xf numFmtId="0" fontId="0" fillId="43" borderId="0" xfId="0" applyFill="1" applyBorder="1" applyAlignment="1" applyProtection="1">
      <alignment/>
      <protection/>
    </xf>
    <xf numFmtId="0" fontId="0" fillId="35" borderId="22" xfId="0" applyFont="1" applyFill="1" applyBorder="1" applyAlignment="1" applyProtection="1">
      <alignment/>
      <protection/>
    </xf>
    <xf numFmtId="0" fontId="0" fillId="43" borderId="102" xfId="0" applyFill="1" applyBorder="1" applyAlignment="1" applyProtection="1">
      <alignment/>
      <protection/>
    </xf>
    <xf numFmtId="0" fontId="2" fillId="43" borderId="102" xfId="0" applyFont="1" applyFill="1" applyBorder="1" applyAlignment="1" applyProtection="1">
      <alignment/>
      <protection/>
    </xf>
    <xf numFmtId="0" fontId="2" fillId="43" borderId="0" xfId="0" applyFont="1" applyFill="1" applyBorder="1" applyAlignment="1" applyProtection="1">
      <alignment/>
      <protection/>
    </xf>
    <xf numFmtId="0" fontId="2" fillId="43" borderId="101" xfId="0" applyFont="1" applyFill="1" applyBorder="1" applyAlignment="1" applyProtection="1">
      <alignment/>
      <protection/>
    </xf>
    <xf numFmtId="0" fontId="2" fillId="38" borderId="0" xfId="0" applyFont="1" applyFill="1" applyAlignment="1" applyProtection="1">
      <alignment/>
      <protection/>
    </xf>
    <xf numFmtId="0" fontId="2" fillId="43" borderId="24" xfId="0" applyFont="1" applyFill="1" applyBorder="1" applyAlignment="1" applyProtection="1">
      <alignment/>
      <protection/>
    </xf>
    <xf numFmtId="0" fontId="2" fillId="43" borderId="22" xfId="0" applyFont="1" applyFill="1" applyBorder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0" fillId="43" borderId="103" xfId="0" applyFill="1" applyBorder="1" applyAlignment="1" applyProtection="1">
      <alignment/>
      <protection/>
    </xf>
    <xf numFmtId="0" fontId="0" fillId="43" borderId="104" xfId="0" applyFill="1" applyBorder="1" applyAlignment="1" applyProtection="1">
      <alignment/>
      <protection/>
    </xf>
    <xf numFmtId="0" fontId="3" fillId="33" borderId="97" xfId="0" applyFont="1" applyFill="1" applyBorder="1" applyAlignment="1" applyProtection="1">
      <alignment/>
      <protection/>
    </xf>
    <xf numFmtId="0" fontId="0" fillId="33" borderId="98" xfId="0" applyFont="1" applyFill="1" applyBorder="1" applyAlignment="1" applyProtection="1">
      <alignment/>
      <protection/>
    </xf>
    <xf numFmtId="0" fontId="0" fillId="33" borderId="98" xfId="0" applyFill="1" applyBorder="1" applyAlignment="1" applyProtection="1">
      <alignment/>
      <protection/>
    </xf>
    <xf numFmtId="0" fontId="0" fillId="33" borderId="99" xfId="0" applyFill="1" applyBorder="1" applyAlignment="1" applyProtection="1">
      <alignment/>
      <protection/>
    </xf>
    <xf numFmtId="0" fontId="0" fillId="33" borderId="105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0" fillId="33" borderId="101" xfId="0" applyFill="1" applyBorder="1" applyAlignment="1" applyProtection="1">
      <alignment/>
      <protection/>
    </xf>
    <xf numFmtId="0" fontId="0" fillId="33" borderId="102" xfId="0" applyFont="1" applyFill="1" applyBorder="1" applyAlignment="1" applyProtection="1">
      <alignment horizontal="right"/>
      <protection/>
    </xf>
    <xf numFmtId="0" fontId="2" fillId="33" borderId="101" xfId="0" applyFont="1" applyFill="1" applyBorder="1" applyAlignment="1" applyProtection="1">
      <alignment/>
      <protection/>
    </xf>
    <xf numFmtId="0" fontId="0" fillId="33" borderId="106" xfId="0" applyFont="1" applyFill="1" applyBorder="1" applyAlignment="1" applyProtection="1">
      <alignment horizontal="right"/>
      <protection/>
    </xf>
    <xf numFmtId="0" fontId="0" fillId="33" borderId="21" xfId="0" applyFont="1" applyFill="1" applyBorder="1" applyAlignment="1" applyProtection="1">
      <alignment horizontal="right"/>
      <protection/>
    </xf>
    <xf numFmtId="0" fontId="0" fillId="33" borderId="107" xfId="0" applyFill="1" applyBorder="1" applyAlignment="1" applyProtection="1">
      <alignment/>
      <protection/>
    </xf>
    <xf numFmtId="0" fontId="0" fillId="33" borderId="103" xfId="0" applyFill="1" applyBorder="1" applyAlignment="1" applyProtection="1">
      <alignment/>
      <protection/>
    </xf>
    <xf numFmtId="0" fontId="0" fillId="33" borderId="104" xfId="0" applyFill="1" applyBorder="1" applyAlignment="1" applyProtection="1">
      <alignment/>
      <protection/>
    </xf>
    <xf numFmtId="0" fontId="3" fillId="44" borderId="102" xfId="0" applyFont="1" applyFill="1" applyBorder="1" applyAlignment="1" applyProtection="1">
      <alignment/>
      <protection/>
    </xf>
    <xf numFmtId="0" fontId="0" fillId="44" borderId="0" xfId="0" applyFont="1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/>
    </xf>
    <xf numFmtId="0" fontId="0" fillId="44" borderId="101" xfId="0" applyFill="1" applyBorder="1" applyAlignment="1" applyProtection="1">
      <alignment/>
      <protection/>
    </xf>
    <xf numFmtId="0" fontId="0" fillId="44" borderId="108" xfId="0" applyFont="1" applyFill="1" applyBorder="1" applyAlignment="1" applyProtection="1">
      <alignment horizontal="right"/>
      <protection/>
    </xf>
    <xf numFmtId="0" fontId="0" fillId="44" borderId="0" xfId="0" applyFill="1" applyBorder="1" applyAlignment="1" applyProtection="1">
      <alignment/>
      <protection/>
    </xf>
    <xf numFmtId="0" fontId="0" fillId="44" borderId="102" xfId="0" applyFont="1" applyFill="1" applyBorder="1" applyAlignment="1" applyProtection="1">
      <alignment horizontal="right"/>
      <protection/>
    </xf>
    <xf numFmtId="0" fontId="0" fillId="44" borderId="109" xfId="0" applyFont="1" applyFill="1" applyBorder="1" applyAlignment="1" applyProtection="1">
      <alignment horizontal="right"/>
      <protection/>
    </xf>
    <xf numFmtId="0" fontId="0" fillId="44" borderId="102" xfId="0" applyFont="1" applyFill="1" applyBorder="1" applyAlignment="1" applyProtection="1">
      <alignment/>
      <protection/>
    </xf>
    <xf numFmtId="0" fontId="0" fillId="44" borderId="107" xfId="0" applyFill="1" applyBorder="1" applyAlignment="1" applyProtection="1">
      <alignment/>
      <protection/>
    </xf>
    <xf numFmtId="0" fontId="0" fillId="44" borderId="103" xfId="0" applyFill="1" applyBorder="1" applyAlignment="1" applyProtection="1">
      <alignment/>
      <protection/>
    </xf>
    <xf numFmtId="0" fontId="0" fillId="44" borderId="104" xfId="0" applyFill="1" applyBorder="1" applyAlignment="1" applyProtection="1">
      <alignment/>
      <protection/>
    </xf>
    <xf numFmtId="0" fontId="3" fillId="45" borderId="97" xfId="0" applyFont="1" applyFill="1" applyBorder="1" applyAlignment="1" applyProtection="1">
      <alignment/>
      <protection/>
    </xf>
    <xf numFmtId="0" fontId="2" fillId="45" borderId="98" xfId="0" applyFont="1" applyFill="1" applyBorder="1" applyAlignment="1" applyProtection="1">
      <alignment/>
      <protection/>
    </xf>
    <xf numFmtId="0" fontId="0" fillId="45" borderId="99" xfId="0" applyFill="1" applyBorder="1" applyAlignment="1" applyProtection="1">
      <alignment/>
      <protection/>
    </xf>
    <xf numFmtId="0" fontId="0" fillId="45" borderId="101" xfId="0" applyFill="1" applyBorder="1" applyAlignment="1" applyProtection="1">
      <alignment/>
      <protection/>
    </xf>
    <xf numFmtId="0" fontId="0" fillId="45" borderId="101" xfId="0" applyFont="1" applyFill="1" applyBorder="1" applyAlignment="1" applyProtection="1">
      <alignment/>
      <protection/>
    </xf>
    <xf numFmtId="0" fontId="0" fillId="45" borderId="107" xfId="0" applyFill="1" applyBorder="1" applyAlignment="1" applyProtection="1">
      <alignment/>
      <protection/>
    </xf>
    <xf numFmtId="0" fontId="0" fillId="45" borderId="103" xfId="0" applyFill="1" applyBorder="1" applyAlignment="1" applyProtection="1">
      <alignment/>
      <protection/>
    </xf>
    <xf numFmtId="0" fontId="0" fillId="45" borderId="104" xfId="0" applyFont="1" applyFill="1" applyBorder="1" applyAlignment="1" applyProtection="1">
      <alignment/>
      <protection/>
    </xf>
    <xf numFmtId="0" fontId="3" fillId="37" borderId="102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101" xfId="0" applyFill="1" applyBorder="1" applyAlignment="1" applyProtection="1">
      <alignment/>
      <protection/>
    </xf>
    <xf numFmtId="0" fontId="0" fillId="37" borderId="105" xfId="0" applyFont="1" applyFill="1" applyBorder="1" applyAlignment="1" applyProtection="1">
      <alignment horizontal="right"/>
      <protection/>
    </xf>
    <xf numFmtId="0" fontId="0" fillId="37" borderId="10" xfId="0" applyFill="1" applyBorder="1" applyAlignment="1" applyProtection="1">
      <alignment horizontal="center"/>
      <protection/>
    </xf>
    <xf numFmtId="0" fontId="0" fillId="37" borderId="16" xfId="0" applyFont="1" applyFill="1" applyBorder="1" applyAlignment="1" applyProtection="1">
      <alignment horizontal="center"/>
      <protection/>
    </xf>
    <xf numFmtId="0" fontId="0" fillId="37" borderId="102" xfId="0" applyFont="1" applyFill="1" applyBorder="1" applyAlignment="1" applyProtection="1">
      <alignment/>
      <protection/>
    </xf>
    <xf numFmtId="0" fontId="0" fillId="37" borderId="106" xfId="0" applyFont="1" applyFill="1" applyBorder="1" applyAlignment="1" applyProtection="1">
      <alignment/>
      <protection/>
    </xf>
    <xf numFmtId="0" fontId="0" fillId="37" borderId="31" xfId="0" applyFont="1" applyFill="1" applyBorder="1" applyAlignment="1" applyProtection="1">
      <alignment horizontal="center"/>
      <protection/>
    </xf>
    <xf numFmtId="0" fontId="0" fillId="37" borderId="110" xfId="0" applyFont="1" applyFill="1" applyBorder="1" applyAlignment="1" applyProtection="1">
      <alignment horizontal="right"/>
      <protection/>
    </xf>
    <xf numFmtId="0" fontId="0" fillId="36" borderId="10" xfId="0" applyFont="1" applyFill="1" applyBorder="1" applyAlignment="1" applyProtection="1">
      <alignment/>
      <protection/>
    </xf>
    <xf numFmtId="0" fontId="8" fillId="36" borderId="10" xfId="0" applyFont="1" applyFill="1" applyBorder="1" applyAlignment="1" applyProtection="1">
      <alignment horizontal="center"/>
      <protection/>
    </xf>
    <xf numFmtId="0" fontId="0" fillId="37" borderId="111" xfId="0" applyFont="1" applyFill="1" applyBorder="1" applyAlignment="1" applyProtection="1">
      <alignment horizontal="right"/>
      <protection/>
    </xf>
    <xf numFmtId="0" fontId="0" fillId="37" borderId="112" xfId="0" applyFont="1" applyFill="1" applyBorder="1" applyAlignment="1" applyProtection="1">
      <alignment horizontal="right"/>
      <protection/>
    </xf>
    <xf numFmtId="0" fontId="0" fillId="37" borderId="102" xfId="0" applyFont="1" applyFill="1" applyBorder="1" applyAlignment="1" applyProtection="1">
      <alignment horizontal="right"/>
      <protection/>
    </xf>
    <xf numFmtId="0" fontId="0" fillId="37" borderId="113" xfId="0" applyNumberFormat="1" applyFont="1" applyFill="1" applyBorder="1" applyAlignment="1" applyProtection="1">
      <alignment horizontal="center"/>
      <protection/>
    </xf>
    <xf numFmtId="0" fontId="0" fillId="37" borderId="23" xfId="0" applyFont="1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 horizontal="center"/>
      <protection/>
    </xf>
    <xf numFmtId="0" fontId="0" fillId="37" borderId="15" xfId="0" applyFill="1" applyBorder="1" applyAlignment="1" applyProtection="1">
      <alignment horizontal="center"/>
      <protection/>
    </xf>
    <xf numFmtId="0" fontId="0" fillId="37" borderId="111" xfId="0" applyFont="1" applyFill="1" applyBorder="1" applyAlignment="1" applyProtection="1">
      <alignment horizontal="center"/>
      <protection/>
    </xf>
    <xf numFmtId="0" fontId="1" fillId="37" borderId="14" xfId="0" applyFont="1" applyFill="1" applyBorder="1" applyAlignment="1" applyProtection="1">
      <alignment horizontal="center"/>
      <protection/>
    </xf>
    <xf numFmtId="0" fontId="0" fillId="37" borderId="29" xfId="0" applyFont="1" applyFill="1" applyBorder="1" applyAlignment="1" applyProtection="1">
      <alignment horizontal="center"/>
      <protection/>
    </xf>
    <xf numFmtId="0" fontId="1" fillId="37" borderId="0" xfId="0" applyFont="1" applyFill="1" applyBorder="1" applyAlignment="1" applyProtection="1">
      <alignment horizontal="center"/>
      <protection/>
    </xf>
    <xf numFmtId="0" fontId="1" fillId="37" borderId="13" xfId="0" applyFont="1" applyFill="1" applyBorder="1" applyAlignment="1" applyProtection="1">
      <alignment horizontal="center"/>
      <protection/>
    </xf>
    <xf numFmtId="0" fontId="0" fillId="37" borderId="101" xfId="0" applyFont="1" applyFill="1" applyBorder="1" applyAlignment="1" applyProtection="1">
      <alignment/>
      <protection/>
    </xf>
    <xf numFmtId="0" fontId="0" fillId="37" borderId="23" xfId="0" applyFont="1" applyFill="1" applyBorder="1" applyAlignment="1" applyProtection="1">
      <alignment horizontal="right"/>
      <protection/>
    </xf>
    <xf numFmtId="0" fontId="0" fillId="37" borderId="114" xfId="0" applyFont="1" applyFill="1" applyBorder="1" applyAlignment="1" applyProtection="1">
      <alignment horizontal="right"/>
      <protection/>
    </xf>
    <xf numFmtId="0" fontId="0" fillId="37" borderId="103" xfId="0" applyFont="1" applyFill="1" applyBorder="1" applyAlignment="1" applyProtection="1">
      <alignment/>
      <protection/>
    </xf>
    <xf numFmtId="0" fontId="0" fillId="37" borderId="103" xfId="0" applyFill="1" applyBorder="1" applyAlignment="1" applyProtection="1">
      <alignment/>
      <protection/>
    </xf>
    <xf numFmtId="0" fontId="0" fillId="37" borderId="104" xfId="0" applyFont="1" applyFill="1" applyBorder="1" applyAlignment="1" applyProtection="1">
      <alignment/>
      <protection/>
    </xf>
    <xf numFmtId="0" fontId="3" fillId="36" borderId="97" xfId="0" applyFont="1" applyFill="1" applyBorder="1" applyAlignment="1" applyProtection="1">
      <alignment/>
      <protection/>
    </xf>
    <xf numFmtId="0" fontId="0" fillId="36" borderId="98" xfId="0" applyFont="1" applyFill="1" applyBorder="1" applyAlignment="1" applyProtection="1">
      <alignment horizontal="center"/>
      <protection/>
    </xf>
    <xf numFmtId="0" fontId="0" fillId="36" borderId="99" xfId="0" applyFont="1" applyFill="1" applyBorder="1" applyAlignment="1" applyProtection="1">
      <alignment/>
      <protection/>
    </xf>
    <xf numFmtId="0" fontId="0" fillId="36" borderId="110" xfId="0" applyFont="1" applyFill="1" applyBorder="1" applyAlignment="1" applyProtection="1">
      <alignment horizontal="right"/>
      <protection/>
    </xf>
    <xf numFmtId="0" fontId="0" fillId="36" borderId="50" xfId="0" applyFont="1" applyFill="1" applyBorder="1" applyAlignment="1" applyProtection="1">
      <alignment horizontal="center"/>
      <protection/>
    </xf>
    <xf numFmtId="0" fontId="0" fillId="36" borderId="101" xfId="0" applyFont="1" applyFill="1" applyBorder="1" applyAlignment="1" applyProtection="1">
      <alignment/>
      <protection/>
    </xf>
    <xf numFmtId="0" fontId="0" fillId="36" borderId="111" xfId="0" applyFont="1" applyFill="1" applyBorder="1" applyAlignment="1" applyProtection="1">
      <alignment horizontal="right"/>
      <protection/>
    </xf>
    <xf numFmtId="0" fontId="0" fillId="36" borderId="115" xfId="0" applyFont="1" applyFill="1" applyBorder="1" applyAlignment="1" applyProtection="1">
      <alignment horizontal="center"/>
      <protection/>
    </xf>
    <xf numFmtId="0" fontId="0" fillId="36" borderId="13" xfId="0" applyFont="1" applyFill="1" applyBorder="1" applyAlignment="1" applyProtection="1">
      <alignment horizontal="center"/>
      <protection/>
    </xf>
    <xf numFmtId="0" fontId="0" fillId="36" borderId="23" xfId="0" applyFont="1" applyFill="1" applyBorder="1" applyAlignment="1" applyProtection="1">
      <alignment horizontal="right"/>
      <protection/>
    </xf>
    <xf numFmtId="0" fontId="0" fillId="36" borderId="116" xfId="0" applyFont="1" applyFill="1" applyBorder="1" applyAlignment="1" applyProtection="1">
      <alignment horizontal="right"/>
      <protection/>
    </xf>
    <xf numFmtId="0" fontId="0" fillId="36" borderId="11" xfId="0" applyFont="1" applyFill="1" applyBorder="1" applyAlignment="1" applyProtection="1">
      <alignment horizontal="center"/>
      <protection/>
    </xf>
    <xf numFmtId="0" fontId="0" fillId="36" borderId="107" xfId="0" applyFont="1" applyFill="1" applyBorder="1" applyAlignment="1" applyProtection="1">
      <alignment/>
      <protection/>
    </xf>
    <xf numFmtId="0" fontId="2" fillId="36" borderId="103" xfId="0" applyFont="1" applyFill="1" applyBorder="1" applyAlignment="1" applyProtection="1">
      <alignment horizontal="center"/>
      <protection/>
    </xf>
    <xf numFmtId="0" fontId="0" fillId="36" borderId="103" xfId="0" applyFont="1" applyFill="1" applyBorder="1" applyAlignment="1" applyProtection="1">
      <alignment/>
      <protection/>
    </xf>
    <xf numFmtId="0" fontId="0" fillId="36" borderId="104" xfId="0" applyFont="1" applyFill="1" applyBorder="1" applyAlignment="1" applyProtection="1">
      <alignment/>
      <protection/>
    </xf>
    <xf numFmtId="181" fontId="0" fillId="43" borderId="10" xfId="0" applyNumberFormat="1" applyFont="1" applyFill="1" applyBorder="1" applyAlignment="1" applyProtection="1">
      <alignment horizontal="center"/>
      <protection/>
    </xf>
    <xf numFmtId="0" fontId="0" fillId="36" borderId="17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 horizontal="left"/>
      <protection locked="0"/>
    </xf>
    <xf numFmtId="0" fontId="0" fillId="36" borderId="22" xfId="0" applyFill="1" applyBorder="1" applyAlignment="1" applyProtection="1">
      <alignment/>
      <protection locked="0"/>
    </xf>
    <xf numFmtId="0" fontId="20" fillId="35" borderId="0" xfId="0" applyFont="1" applyFill="1" applyAlignment="1" applyProtection="1">
      <alignment horizontal="left"/>
      <protection/>
    </xf>
    <xf numFmtId="0" fontId="19" fillId="35" borderId="0" xfId="0" applyFont="1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0" fillId="36" borderId="10" xfId="0" applyFill="1" applyBorder="1" applyAlignment="1" applyProtection="1">
      <alignment/>
      <protection locked="0"/>
    </xf>
    <xf numFmtId="0" fontId="0" fillId="36" borderId="17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5" borderId="49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46" borderId="0" xfId="0" applyFont="1" applyFill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15" fillId="0" borderId="17" xfId="0" applyFont="1" applyFill="1" applyBorder="1" applyAlignment="1" applyProtection="1">
      <alignment horizontal="left"/>
      <protection/>
    </xf>
    <xf numFmtId="0" fontId="15" fillId="0" borderId="22" xfId="0" applyFont="1" applyFill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61" xfId="0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/>
      <protection/>
    </xf>
    <xf numFmtId="14" fontId="2" fillId="0" borderId="0" xfId="0" applyNumberFormat="1" applyFont="1" applyFill="1" applyAlignment="1" applyProtection="1">
      <alignment/>
      <protection/>
    </xf>
    <xf numFmtId="0" fontId="15" fillId="0" borderId="17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74" xfId="0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1" fillId="0" borderId="117" xfId="0" applyFont="1" applyBorder="1" applyAlignment="1" applyProtection="1">
      <alignment/>
      <protection/>
    </xf>
    <xf numFmtId="0" fontId="0" fillId="0" borderId="100" xfId="0" applyBorder="1" applyAlignment="1" applyProtection="1">
      <alignment/>
      <protection/>
    </xf>
    <xf numFmtId="0" fontId="0" fillId="0" borderId="117" xfId="0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18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 horizontal="center"/>
      <protection/>
    </xf>
    <xf numFmtId="0" fontId="0" fillId="0" borderId="118" xfId="0" applyBorder="1" applyAlignment="1" applyProtection="1">
      <alignment/>
      <protection/>
    </xf>
    <xf numFmtId="168" fontId="1" fillId="0" borderId="117" xfId="0" applyNumberFormat="1" applyFont="1" applyFill="1" applyBorder="1" applyAlignment="1" applyProtection="1">
      <alignment horizontal="center"/>
      <protection/>
    </xf>
    <xf numFmtId="0" fontId="1" fillId="0" borderId="117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8" fontId="1" fillId="0" borderId="26" xfId="0" applyNumberFormat="1" applyFont="1" applyFill="1" applyBorder="1" applyAlignment="1" applyProtection="1">
      <alignment horizontal="center"/>
      <protection/>
    </xf>
    <xf numFmtId="0" fontId="0" fillId="0" borderId="61" xfId="0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61" xfId="0" applyFont="1" applyFill="1" applyBorder="1" applyAlignment="1" applyProtection="1">
      <alignment horizontal="left"/>
      <protection/>
    </xf>
    <xf numFmtId="168" fontId="0" fillId="0" borderId="0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19" xfId="0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0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61" xfId="0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0" fillId="0" borderId="118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0" fillId="35" borderId="22" xfId="0" applyFill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5" fillId="35" borderId="17" xfId="0" applyFont="1" applyFill="1" applyBorder="1" applyAlignment="1" applyProtection="1">
      <alignment horizontal="left"/>
      <protection locked="0"/>
    </xf>
    <xf numFmtId="0" fontId="15" fillId="35" borderId="22" xfId="0" applyFont="1" applyFill="1" applyBorder="1" applyAlignment="1" applyProtection="1">
      <alignment horizontal="left"/>
      <protection locked="0"/>
    </xf>
    <xf numFmtId="0" fontId="17" fillId="35" borderId="26" xfId="0" applyFont="1" applyFill="1" applyBorder="1" applyAlignment="1" applyProtection="1">
      <alignment/>
      <protection locked="0"/>
    </xf>
    <xf numFmtId="0" fontId="2" fillId="35" borderId="26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29" fillId="0" borderId="0" xfId="0" applyFont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 quotePrefix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17" xfId="0" applyFont="1" applyBorder="1" applyAlignment="1" applyProtection="1">
      <alignment horizontal="right"/>
      <protection/>
    </xf>
    <xf numFmtId="0" fontId="15" fillId="0" borderId="117" xfId="0" applyFont="1" applyFill="1" applyBorder="1" applyAlignment="1" applyProtection="1">
      <alignment horizontal="left"/>
      <protection/>
    </xf>
    <xf numFmtId="0" fontId="3" fillId="0" borderId="117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168" fontId="0" fillId="0" borderId="10" xfId="0" applyNumberForma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168" fontId="0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68" fontId="0" fillId="35" borderId="10" xfId="0" applyNumberFormat="1" applyFill="1" applyBorder="1" applyAlignment="1" applyProtection="1">
      <alignment/>
      <protection locked="0"/>
    </xf>
    <xf numFmtId="14" fontId="2" fillId="35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41" borderId="10" xfId="0" applyFont="1" applyFill="1" applyBorder="1" applyAlignment="1" applyProtection="1">
      <alignment horizontal="center"/>
      <protection/>
    </xf>
    <xf numFmtId="0" fontId="0" fillId="41" borderId="19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0" fillId="0" borderId="118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119" xfId="0" applyFont="1" applyBorder="1" applyAlignment="1" applyProtection="1">
      <alignment horizontal="center"/>
      <protection/>
    </xf>
    <xf numFmtId="0" fontId="0" fillId="0" borderId="74" xfId="0" applyFont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22" fillId="0" borderId="1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167" fontId="0" fillId="0" borderId="0" xfId="0" applyNumberForma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0" fillId="39" borderId="19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39" borderId="100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168" fontId="1" fillId="0" borderId="1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92" xfId="0" applyBorder="1" applyAlignment="1" applyProtection="1">
      <alignment horizontal="center"/>
      <protection/>
    </xf>
    <xf numFmtId="0" fontId="1" fillId="0" borderId="120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0" fillId="0" borderId="8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68" fontId="1" fillId="0" borderId="120" xfId="0" applyNumberFormat="1" applyFont="1" applyBorder="1" applyAlignment="1" applyProtection="1">
      <alignment horizontal="center"/>
      <protection/>
    </xf>
    <xf numFmtId="168" fontId="0" fillId="0" borderId="22" xfId="0" applyNumberFormat="1" applyFont="1" applyFill="1" applyBorder="1" applyAlignment="1" applyProtection="1">
      <alignment horizontal="center"/>
      <protection/>
    </xf>
    <xf numFmtId="0" fontId="0" fillId="0" borderId="74" xfId="0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center"/>
      <protection/>
    </xf>
    <xf numFmtId="168" fontId="0" fillId="0" borderId="74" xfId="0" applyNumberFormat="1" applyBorder="1" applyAlignment="1" applyProtection="1">
      <alignment horizontal="center"/>
      <protection/>
    </xf>
    <xf numFmtId="168" fontId="1" fillId="0" borderId="20" xfId="0" applyNumberFormat="1" applyFont="1" applyBorder="1" applyAlignment="1" applyProtection="1">
      <alignment horizontal="center"/>
      <protection/>
    </xf>
    <xf numFmtId="165" fontId="0" fillId="0" borderId="41" xfId="0" applyNumberFormat="1" applyBorder="1" applyAlignment="1" applyProtection="1">
      <alignment horizontal="center"/>
      <protection/>
    </xf>
    <xf numFmtId="0" fontId="0" fillId="0" borderId="117" xfId="0" applyBorder="1" applyAlignment="1" applyProtection="1">
      <alignment horizontal="center"/>
      <protection/>
    </xf>
    <xf numFmtId="165" fontId="0" fillId="0" borderId="117" xfId="0" applyNumberFormat="1" applyBorder="1" applyAlignment="1" applyProtection="1">
      <alignment horizontal="center"/>
      <protection/>
    </xf>
    <xf numFmtId="0" fontId="0" fillId="0" borderId="92" xfId="0" applyFont="1" applyBorder="1" applyAlignment="1" applyProtection="1">
      <alignment/>
      <protection/>
    </xf>
    <xf numFmtId="0" fontId="1" fillId="0" borderId="121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21" xfId="0" applyFont="1" applyBorder="1" applyAlignment="1" applyProtection="1">
      <alignment horizontal="center"/>
      <protection/>
    </xf>
    <xf numFmtId="0" fontId="0" fillId="0" borderId="79" xfId="0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80" xfId="0" applyFill="1" applyBorder="1" applyAlignment="1" applyProtection="1">
      <alignment horizontal="center"/>
      <protection/>
    </xf>
    <xf numFmtId="0" fontId="0" fillId="0" borderId="79" xfId="0" applyFill="1" applyBorder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 horizontal="center"/>
      <protection/>
    </xf>
    <xf numFmtId="0" fontId="0" fillId="0" borderId="81" xfId="0" applyBorder="1" applyAlignment="1" applyProtection="1">
      <alignment horizontal="center"/>
      <protection/>
    </xf>
    <xf numFmtId="0" fontId="0" fillId="0" borderId="82" xfId="0" applyBorder="1" applyAlignment="1" applyProtection="1">
      <alignment horizontal="center"/>
      <protection/>
    </xf>
    <xf numFmtId="1" fontId="1" fillId="0" borderId="121" xfId="0" applyNumberFormat="1" applyFont="1" applyBorder="1" applyAlignment="1" applyProtection="1">
      <alignment horizontal="center"/>
      <protection/>
    </xf>
    <xf numFmtId="1" fontId="1" fillId="0" borderId="10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66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2" fillId="0" borderId="10" xfId="0" applyFont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19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61" xfId="0" applyFont="1" applyFill="1" applyBorder="1" applyAlignment="1" applyProtection="1">
      <alignment horizontal="center"/>
      <protection/>
    </xf>
    <xf numFmtId="182" fontId="0" fillId="0" borderId="10" xfId="0" applyNumberForma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8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18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9" fontId="0" fillId="0" borderId="41" xfId="0" applyNumberFormat="1" applyFont="1" applyBorder="1" applyAlignment="1" applyProtection="1" quotePrefix="1">
      <alignment horizontal="center"/>
      <protection/>
    </xf>
    <xf numFmtId="9" fontId="0" fillId="0" borderId="41" xfId="0" applyNumberFormat="1" applyFont="1" applyFill="1" applyBorder="1" applyAlignment="1" applyProtection="1" quotePrefix="1">
      <alignment horizontal="center"/>
      <protection/>
    </xf>
    <xf numFmtId="0" fontId="0" fillId="0" borderId="119" xfId="0" applyBorder="1" applyAlignment="1" applyProtection="1">
      <alignment horizontal="center"/>
      <protection/>
    </xf>
    <xf numFmtId="1" fontId="1" fillId="0" borderId="17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" fillId="35" borderId="27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0" fillId="35" borderId="26" xfId="0" applyFont="1" applyFill="1" applyBorder="1" applyAlignment="1" applyProtection="1">
      <alignment vertical="center"/>
      <protection/>
    </xf>
    <xf numFmtId="0" fontId="21" fillId="35" borderId="10" xfId="0" applyFont="1" applyFill="1" applyBorder="1" applyAlignment="1" applyProtection="1">
      <alignment horizontal="center" vertical="center"/>
      <protection locked="0"/>
    </xf>
    <xf numFmtId="178" fontId="0" fillId="35" borderId="27" xfId="0" applyNumberFormat="1" applyFont="1" applyFill="1" applyBorder="1" applyAlignment="1" applyProtection="1">
      <alignment horizontal="center" vertical="center"/>
      <protection locked="0"/>
    </xf>
    <xf numFmtId="169" fontId="2" fillId="35" borderId="16" xfId="0" applyNumberFormat="1" applyFont="1" applyFill="1" applyBorder="1" applyAlignment="1" applyProtection="1">
      <alignment/>
      <protection locked="0"/>
    </xf>
    <xf numFmtId="169" fontId="2" fillId="35" borderId="15" xfId="0" applyNumberFormat="1" applyFont="1" applyFill="1" applyBorder="1" applyAlignment="1" applyProtection="1">
      <alignment/>
      <protection locked="0"/>
    </xf>
    <xf numFmtId="169" fontId="2" fillId="35" borderId="28" xfId="0" applyNumberFormat="1" applyFont="1" applyFill="1" applyBorder="1" applyAlignment="1" applyProtection="1">
      <alignment/>
      <protection locked="0"/>
    </xf>
    <xf numFmtId="170" fontId="2" fillId="35" borderId="28" xfId="0" applyNumberFormat="1" applyFont="1" applyFill="1" applyBorder="1" applyAlignment="1" applyProtection="1">
      <alignment/>
      <protection locked="0"/>
    </xf>
    <xf numFmtId="170" fontId="2" fillId="35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102" xfId="0" applyFont="1" applyFill="1" applyBorder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0" fontId="0" fillId="0" borderId="118" xfId="0" applyFont="1" applyFill="1" applyBorder="1" applyAlignment="1" applyProtection="1">
      <alignment horizontal="right" vertical="center"/>
      <protection/>
    </xf>
    <xf numFmtId="9" fontId="0" fillId="0" borderId="79" xfId="0" applyNumberFormat="1" applyFont="1" applyBorder="1" applyAlignment="1" applyProtection="1" quotePrefix="1">
      <alignment horizontal="center"/>
      <protection/>
    </xf>
    <xf numFmtId="178" fontId="0" fillId="35" borderId="1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102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39" borderId="17" xfId="0" applyFont="1" applyFill="1" applyBorder="1" applyAlignment="1" applyProtection="1">
      <alignment vertical="center"/>
      <protection/>
    </xf>
    <xf numFmtId="0" fontId="0" fillId="39" borderId="3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17" xfId="0" applyFont="1" applyFill="1" applyBorder="1" applyAlignment="1" applyProtection="1">
      <alignment/>
      <protection/>
    </xf>
    <xf numFmtId="0" fontId="0" fillId="0" borderId="123" xfId="0" applyFont="1" applyFill="1" applyBorder="1" applyAlignment="1" applyProtection="1">
      <alignment horizontal="right"/>
      <protection/>
    </xf>
    <xf numFmtId="169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43" borderId="31" xfId="0" applyFont="1" applyFill="1" applyBorder="1" applyAlignment="1" applyProtection="1">
      <alignment horizontal="center" vertical="center"/>
      <protection/>
    </xf>
    <xf numFmtId="0" fontId="0" fillId="43" borderId="14" xfId="0" applyFont="1" applyFill="1" applyBorder="1" applyAlignment="1" applyProtection="1">
      <alignment horizontal="center" vertical="center"/>
      <protection/>
    </xf>
    <xf numFmtId="173" fontId="0" fillId="43" borderId="14" xfId="0" applyNumberFormat="1" applyFont="1" applyFill="1" applyBorder="1" applyAlignment="1" applyProtection="1">
      <alignment horizontal="center" vertical="center"/>
      <protection/>
    </xf>
    <xf numFmtId="0" fontId="0" fillId="37" borderId="59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/>
      <protection/>
    </xf>
    <xf numFmtId="173" fontId="0" fillId="37" borderId="14" xfId="0" applyNumberFormat="1" applyFont="1" applyFill="1" applyBorder="1" applyAlignment="1" applyProtection="1">
      <alignment horizontal="center" vertical="center"/>
      <protection/>
    </xf>
    <xf numFmtId="0" fontId="0" fillId="36" borderId="124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horizontal="center"/>
      <protection/>
    </xf>
    <xf numFmtId="173" fontId="0" fillId="36" borderId="14" xfId="0" applyNumberFormat="1" applyFont="1" applyFill="1" applyBorder="1" applyAlignment="1" applyProtection="1">
      <alignment horizontal="center" vertical="center"/>
      <protection/>
    </xf>
    <xf numFmtId="0" fontId="0" fillId="33" borderId="124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173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/>
      <protection/>
    </xf>
    <xf numFmtId="0" fontId="0" fillId="0" borderId="125" xfId="0" applyFont="1" applyFill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/>
      <protection/>
    </xf>
    <xf numFmtId="0" fontId="0" fillId="43" borderId="10" xfId="0" applyFont="1" applyFill="1" applyBorder="1" applyAlignment="1" applyProtection="1">
      <alignment horizontal="center" vertical="center"/>
      <protection/>
    </xf>
    <xf numFmtId="173" fontId="0" fillId="43" borderId="17" xfId="0" applyNumberFormat="1" applyFont="1" applyFill="1" applyBorder="1" applyAlignment="1" applyProtection="1">
      <alignment horizontal="center" vertical="center"/>
      <protection/>
    </xf>
    <xf numFmtId="0" fontId="0" fillId="37" borderId="121" xfId="0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173" fontId="0" fillId="37" borderId="17" xfId="0" applyNumberFormat="1" applyFont="1" applyFill="1" applyBorder="1" applyAlignment="1" applyProtection="1">
      <alignment horizontal="center" vertical="center"/>
      <protection/>
    </xf>
    <xf numFmtId="0" fontId="0" fillId="36" borderId="121" xfId="0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173" fontId="0" fillId="36" borderId="120" xfId="0" applyNumberFormat="1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0" borderId="126" xfId="0" applyFont="1" applyFill="1" applyBorder="1" applyAlignment="1" applyProtection="1">
      <alignment horizontal="right"/>
      <protection/>
    </xf>
    <xf numFmtId="0" fontId="0" fillId="0" borderId="127" xfId="0" applyFont="1" applyFill="1" applyBorder="1" applyAlignment="1" applyProtection="1">
      <alignment horizontal="center"/>
      <protection/>
    </xf>
    <xf numFmtId="0" fontId="0" fillId="0" borderId="12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right"/>
      <protection/>
    </xf>
    <xf numFmtId="0" fontId="0" fillId="0" borderId="129" xfId="0" applyFont="1" applyFill="1" applyBorder="1" applyAlignment="1" applyProtection="1">
      <alignment/>
      <protection/>
    </xf>
    <xf numFmtId="0" fontId="0" fillId="0" borderId="130" xfId="0" applyFont="1" applyFill="1" applyBorder="1" applyAlignment="1" applyProtection="1">
      <alignment/>
      <protection/>
    </xf>
    <xf numFmtId="0" fontId="0" fillId="0" borderId="115" xfId="0" applyFont="1" applyFill="1" applyBorder="1" applyAlignment="1" applyProtection="1">
      <alignment horizontal="center"/>
      <protection/>
    </xf>
    <xf numFmtId="0" fontId="0" fillId="0" borderId="128" xfId="0" applyFont="1" applyFill="1" applyBorder="1" applyAlignment="1" applyProtection="1">
      <alignment horizontal="left"/>
      <protection/>
    </xf>
    <xf numFmtId="0" fontId="0" fillId="0" borderId="73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2" fillId="0" borderId="130" xfId="0" applyFont="1" applyBorder="1" applyAlignment="1" applyProtection="1">
      <alignment/>
      <protection/>
    </xf>
    <xf numFmtId="0" fontId="2" fillId="0" borderId="115" xfId="0" applyFont="1" applyBorder="1" applyAlignment="1" applyProtection="1">
      <alignment/>
      <protection/>
    </xf>
    <xf numFmtId="39" fontId="0" fillId="0" borderId="72" xfId="0" applyNumberFormat="1" applyFont="1" applyFill="1" applyBorder="1" applyAlignment="1" applyProtection="1">
      <alignment horizontal="center"/>
      <protection/>
    </xf>
    <xf numFmtId="39" fontId="0" fillId="0" borderId="71" xfId="0" applyNumberFormat="1" applyFont="1" applyFill="1" applyBorder="1" applyAlignment="1" applyProtection="1">
      <alignment horizontal="center"/>
      <protection/>
    </xf>
    <xf numFmtId="0" fontId="2" fillId="0" borderId="72" xfId="0" applyFont="1" applyBorder="1" applyAlignment="1" applyProtection="1">
      <alignment/>
      <protection/>
    </xf>
    <xf numFmtId="0" fontId="0" fillId="0" borderId="131" xfId="0" applyFont="1" applyFill="1" applyBorder="1" applyAlignment="1" applyProtection="1">
      <alignment horizontal="right"/>
      <protection/>
    </xf>
    <xf numFmtId="0" fontId="0" fillId="0" borderId="132" xfId="0" applyFont="1" applyFill="1" applyBorder="1" applyAlignment="1" applyProtection="1">
      <alignment horizontal="right"/>
      <protection/>
    </xf>
    <xf numFmtId="39" fontId="0" fillId="0" borderId="130" xfId="0" applyNumberFormat="1" applyFont="1" applyFill="1" applyBorder="1" applyAlignment="1" applyProtection="1">
      <alignment horizontal="center"/>
      <protection/>
    </xf>
    <xf numFmtId="0" fontId="0" fillId="0" borderId="61" xfId="0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37" fontId="0" fillId="0" borderId="133" xfId="0" applyNumberFormat="1" applyFont="1" applyFill="1" applyBorder="1" applyAlignment="1" applyProtection="1">
      <alignment horizontal="center" vertical="center"/>
      <protection/>
    </xf>
    <xf numFmtId="1" fontId="0" fillId="0" borderId="71" xfId="0" applyNumberFormat="1" applyFont="1" applyFill="1" applyBorder="1" applyAlignment="1" applyProtection="1">
      <alignment horizontal="center"/>
      <protection/>
    </xf>
    <xf numFmtId="0" fontId="0" fillId="0" borderId="74" xfId="0" applyFont="1" applyFill="1" applyBorder="1" applyAlignment="1" applyProtection="1">
      <alignment horizontal="right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92" xfId="0" applyFont="1" applyFill="1" applyBorder="1" applyAlignment="1" applyProtection="1">
      <alignment/>
      <protection/>
    </xf>
    <xf numFmtId="1" fontId="0" fillId="0" borderId="134" xfId="0" applyNumberFormat="1" applyFont="1" applyFill="1" applyBorder="1" applyAlignment="1" applyProtection="1">
      <alignment horizontal="center"/>
      <protection/>
    </xf>
    <xf numFmtId="0" fontId="2" fillId="0" borderId="71" xfId="0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35" borderId="10" xfId="0" applyNumberFormat="1" applyFont="1" applyFill="1" applyBorder="1" applyAlignment="1" applyProtection="1">
      <alignment horizontal="center"/>
      <protection locked="0"/>
    </xf>
    <xf numFmtId="0" fontId="0" fillId="35" borderId="19" xfId="0" applyFont="1" applyFill="1" applyBorder="1" applyAlignment="1" applyProtection="1">
      <alignment horizontal="right"/>
      <protection locked="0"/>
    </xf>
    <xf numFmtId="0" fontId="0" fillId="35" borderId="41" xfId="0" applyFont="1" applyFill="1" applyBorder="1" applyAlignment="1" applyProtection="1">
      <alignment/>
      <protection locked="0"/>
    </xf>
    <xf numFmtId="0" fontId="0" fillId="35" borderId="61" xfId="0" applyFont="1" applyFill="1" applyBorder="1" applyAlignment="1" applyProtection="1">
      <alignment/>
      <protection locked="0"/>
    </xf>
    <xf numFmtId="0" fontId="0" fillId="35" borderId="40" xfId="0" applyFont="1" applyFill="1" applyBorder="1" applyAlignment="1" applyProtection="1">
      <alignment/>
      <protection locked="0"/>
    </xf>
    <xf numFmtId="0" fontId="0" fillId="35" borderId="47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5" borderId="74" xfId="0" applyFont="1" applyFill="1" applyBorder="1" applyAlignment="1" applyProtection="1">
      <alignment/>
      <protection locked="0"/>
    </xf>
    <xf numFmtId="0" fontId="0" fillId="35" borderId="26" xfId="0" applyFont="1" applyFill="1" applyBorder="1" applyAlignment="1" applyProtection="1">
      <alignment/>
      <protection locked="0"/>
    </xf>
    <xf numFmtId="0" fontId="0" fillId="35" borderId="26" xfId="0" applyFont="1" applyFill="1" applyBorder="1" applyAlignment="1" applyProtection="1">
      <alignment horizontal="right" vertical="center"/>
      <protection locked="0"/>
    </xf>
    <xf numFmtId="0" fontId="0" fillId="35" borderId="119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 horizontal="center"/>
      <protection/>
    </xf>
    <xf numFmtId="0" fontId="2" fillId="0" borderId="102" xfId="0" applyFont="1" applyFill="1" applyBorder="1" applyAlignment="1" applyProtection="1">
      <alignment/>
      <protection/>
    </xf>
    <xf numFmtId="0" fontId="0" fillId="39" borderId="32" xfId="0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/>
      <protection/>
    </xf>
    <xf numFmtId="0" fontId="0" fillId="0" borderId="92" xfId="0" applyBorder="1" applyAlignment="1" applyProtection="1">
      <alignment/>
      <protection/>
    </xf>
    <xf numFmtId="0" fontId="0" fillId="0" borderId="135" xfId="0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136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30" xfId="0" applyFont="1" applyFill="1" applyBorder="1" applyAlignment="1" applyProtection="1">
      <alignment horizontal="center"/>
      <protection/>
    </xf>
    <xf numFmtId="0" fontId="0" fillId="0" borderId="137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117" xfId="0" applyFont="1" applyBorder="1" applyAlignment="1" applyProtection="1">
      <alignment horizontal="center"/>
      <protection/>
    </xf>
    <xf numFmtId="0" fontId="0" fillId="0" borderId="138" xfId="0" applyFont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74" xfId="0" applyFont="1" applyFill="1" applyBorder="1" applyAlignment="1" applyProtection="1">
      <alignment horizontal="center"/>
      <protection/>
    </xf>
    <xf numFmtId="0" fontId="0" fillId="0" borderId="82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139" xfId="0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 applyProtection="1" quotePrefix="1">
      <alignment horizontal="center"/>
      <protection/>
    </xf>
    <xf numFmtId="0" fontId="0" fillId="0" borderId="140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141" xfId="0" applyFont="1" applyFill="1" applyBorder="1" applyAlignment="1" applyProtection="1">
      <alignment horizontal="left"/>
      <protection/>
    </xf>
    <xf numFmtId="0" fontId="0" fillId="0" borderId="55" xfId="0" applyFont="1" applyFill="1" applyBorder="1" applyAlignment="1" applyProtection="1">
      <alignment horizontal="left"/>
      <protection/>
    </xf>
    <xf numFmtId="0" fontId="0" fillId="0" borderId="142" xfId="0" applyFont="1" applyFill="1" applyBorder="1" applyAlignment="1" applyProtection="1">
      <alignment horizontal="center"/>
      <protection/>
    </xf>
    <xf numFmtId="0" fontId="0" fillId="0" borderId="143" xfId="0" applyFont="1" applyFill="1" applyBorder="1" applyAlignment="1" applyProtection="1">
      <alignment horizontal="left"/>
      <protection/>
    </xf>
    <xf numFmtId="0" fontId="0" fillId="0" borderId="144" xfId="0" applyFont="1" applyBorder="1" applyAlignment="1" applyProtection="1">
      <alignment horizontal="center"/>
      <protection/>
    </xf>
    <xf numFmtId="0" fontId="0" fillId="0" borderId="145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140" xfId="0" applyFont="1" applyFill="1" applyBorder="1" applyAlignment="1" applyProtection="1">
      <alignment horizontal="center"/>
      <protection/>
    </xf>
    <xf numFmtId="0" fontId="0" fillId="0" borderId="146" xfId="0" applyFont="1" applyFill="1" applyBorder="1" applyAlignment="1" applyProtection="1">
      <alignment horizontal="center"/>
      <protection/>
    </xf>
    <xf numFmtId="0" fontId="0" fillId="0" borderId="147" xfId="0" applyFont="1" applyFill="1" applyBorder="1" applyAlignment="1" applyProtection="1">
      <alignment horizontal="center"/>
      <protection/>
    </xf>
    <xf numFmtId="0" fontId="0" fillId="0" borderId="148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149" xfId="0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56" xfId="0" applyFont="1" applyFill="1" applyBorder="1" applyAlignment="1" applyProtection="1">
      <alignment horizontal="center"/>
      <protection/>
    </xf>
    <xf numFmtId="0" fontId="0" fillId="0" borderId="150" xfId="0" applyBorder="1" applyAlignment="1" applyProtection="1">
      <alignment/>
      <protection/>
    </xf>
    <xf numFmtId="0" fontId="0" fillId="0" borderId="80" xfId="0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43" xfId="0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151" xfId="0" applyFont="1" applyFill="1" applyBorder="1" applyAlignment="1" applyProtection="1">
      <alignment horizontal="center"/>
      <protection/>
    </xf>
    <xf numFmtId="0" fontId="0" fillId="0" borderId="152" xfId="0" applyBorder="1" applyAlignment="1" applyProtection="1">
      <alignment horizontal="center"/>
      <protection/>
    </xf>
    <xf numFmtId="0" fontId="0" fillId="0" borderId="153" xfId="0" applyFont="1" applyFill="1" applyBorder="1" applyAlignment="1" applyProtection="1">
      <alignment horizontal="center"/>
      <protection/>
    </xf>
    <xf numFmtId="0" fontId="0" fillId="0" borderId="76" xfId="0" applyFont="1" applyFill="1" applyBorder="1" applyAlignment="1" applyProtection="1">
      <alignment horizontal="center"/>
      <protection/>
    </xf>
    <xf numFmtId="0" fontId="0" fillId="0" borderId="86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2" fillId="0" borderId="50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49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49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4" fontId="2" fillId="35" borderId="32" xfId="0" applyNumberFormat="1" applyFon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 applyProtection="1">
      <alignment/>
      <protection locked="0"/>
    </xf>
    <xf numFmtId="0" fontId="2" fillId="0" borderId="115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3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24" fillId="46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23" fillId="0" borderId="118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right"/>
      <protection/>
    </xf>
    <xf numFmtId="0" fontId="1" fillId="0" borderId="26" xfId="0" applyFont="1" applyFill="1" applyBorder="1" applyAlignment="1" applyProtection="1">
      <alignment/>
      <protection/>
    </xf>
    <xf numFmtId="0" fontId="0" fillId="0" borderId="49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17" xfId="0" applyFont="1" applyFill="1" applyBorder="1" applyAlignment="1" applyProtection="1">
      <alignment horizontal="center"/>
      <protection locked="0"/>
    </xf>
    <xf numFmtId="0" fontId="1" fillId="0" borderId="100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118" xfId="0" applyFont="1" applyFill="1" applyBorder="1" applyAlignment="1" applyProtection="1">
      <alignment/>
      <protection locked="0"/>
    </xf>
    <xf numFmtId="0" fontId="1" fillId="0" borderId="119" xfId="0" applyFont="1" applyFill="1" applyBorder="1" applyAlignment="1" applyProtection="1">
      <alignment/>
      <protection locked="0"/>
    </xf>
    <xf numFmtId="14" fontId="1" fillId="35" borderId="50" xfId="0" applyNumberFormat="1" applyFont="1" applyFill="1" applyBorder="1" applyAlignment="1" applyProtection="1">
      <alignment/>
      <protection locked="0"/>
    </xf>
    <xf numFmtId="0" fontId="1" fillId="0" borderId="115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2" fillId="33" borderId="21" xfId="0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7" borderId="19" xfId="0" applyFont="1" applyFill="1" applyBorder="1" applyAlignment="1" applyProtection="1">
      <alignment horizontal="center" vertical="center"/>
      <protection/>
    </xf>
    <xf numFmtId="0" fontId="2" fillId="37" borderId="0" xfId="0" applyFont="1" applyFill="1" applyBorder="1" applyAlignment="1" applyProtection="1">
      <alignment horizontal="center" vertical="center"/>
      <protection/>
    </xf>
    <xf numFmtId="169" fontId="2" fillId="37" borderId="19" xfId="0" applyNumberFormat="1" applyFon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 horizontal="right"/>
      <protection/>
    </xf>
    <xf numFmtId="0" fontId="4" fillId="37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 horizontal="centerContinuous"/>
      <protection/>
    </xf>
    <xf numFmtId="0" fontId="2" fillId="37" borderId="0" xfId="0" applyFont="1" applyFill="1" applyAlignment="1" applyProtection="1">
      <alignment/>
      <protection/>
    </xf>
    <xf numFmtId="0" fontId="2" fillId="34" borderId="41" xfId="0" applyFont="1" applyFill="1" applyBorder="1" applyAlignment="1" applyProtection="1">
      <alignment horizontal="center"/>
      <protection/>
    </xf>
    <xf numFmtId="0" fontId="2" fillId="34" borderId="50" xfId="0" applyFont="1" applyFill="1" applyBorder="1" applyAlignment="1" applyProtection="1">
      <alignment horizontal="center"/>
      <protection/>
    </xf>
    <xf numFmtId="0" fontId="2" fillId="34" borderId="29" xfId="0" applyFont="1" applyFill="1" applyBorder="1" applyAlignment="1" applyProtection="1">
      <alignment horizontal="center"/>
      <protection/>
    </xf>
    <xf numFmtId="0" fontId="2" fillId="34" borderId="31" xfId="0" applyFont="1" applyFill="1" applyBorder="1" applyAlignment="1" applyProtection="1">
      <alignment horizontal="center"/>
      <protection/>
    </xf>
    <xf numFmtId="0" fontId="2" fillId="34" borderId="85" xfId="0" applyFon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15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2" fillId="33" borderId="32" xfId="0" applyFont="1" applyFill="1" applyBorder="1" applyAlignment="1" applyProtection="1">
      <alignment/>
      <protection/>
    </xf>
    <xf numFmtId="0" fontId="2" fillId="33" borderId="49" xfId="0" applyFont="1" applyFill="1" applyBorder="1" applyAlignment="1" applyProtection="1">
      <alignment/>
      <protection/>
    </xf>
    <xf numFmtId="0" fontId="2" fillId="33" borderId="41" xfId="0" applyFont="1" applyFill="1" applyBorder="1" applyAlignment="1" applyProtection="1">
      <alignment/>
      <protection/>
    </xf>
    <xf numFmtId="0" fontId="2" fillId="33" borderId="117" xfId="0" applyFont="1" applyFill="1" applyBorder="1" applyAlignment="1" applyProtection="1">
      <alignment/>
      <protection/>
    </xf>
    <xf numFmtId="0" fontId="2" fillId="33" borderId="100" xfId="0" applyFont="1" applyFill="1" applyBorder="1" applyAlignment="1" applyProtection="1">
      <alignment/>
      <protection/>
    </xf>
    <xf numFmtId="0" fontId="2" fillId="33" borderId="118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/>
      <protection/>
    </xf>
    <xf numFmtId="0" fontId="2" fillId="33" borderId="119" xfId="0" applyFont="1" applyFill="1" applyBorder="1" applyAlignment="1" applyProtection="1">
      <alignment/>
      <protection/>
    </xf>
    <xf numFmtId="0" fontId="0" fillId="0" borderId="41" xfId="0" applyFont="1" applyBorder="1" applyAlignment="1">
      <alignment/>
    </xf>
    <xf numFmtId="0" fontId="0" fillId="0" borderId="74" xfId="0" applyFont="1" applyBorder="1" applyAlignment="1">
      <alignment/>
    </xf>
    <xf numFmtId="0" fontId="1" fillId="0" borderId="154" xfId="0" applyFont="1" applyBorder="1" applyAlignment="1">
      <alignment horizontal="center"/>
    </xf>
    <xf numFmtId="0" fontId="1" fillId="0" borderId="155" xfId="0" applyFont="1" applyBorder="1" applyAlignment="1">
      <alignment horizontal="center"/>
    </xf>
    <xf numFmtId="0" fontId="1" fillId="0" borderId="156" xfId="0" applyFont="1" applyFill="1" applyBorder="1" applyAlignment="1">
      <alignment horizontal="center"/>
    </xf>
    <xf numFmtId="167" fontId="0" fillId="35" borderId="10" xfId="0" applyNumberFormat="1" applyFont="1" applyFill="1" applyBorder="1" applyAlignment="1" applyProtection="1">
      <alignment horizontal="center"/>
      <protection locked="0"/>
    </xf>
    <xf numFmtId="0" fontId="0" fillId="0" borderId="157" xfId="0" applyFont="1" applyFill="1" applyBorder="1" applyAlignment="1" applyProtection="1">
      <alignment horizontal="center"/>
      <protection locked="0"/>
    </xf>
    <xf numFmtId="167" fontId="0" fillId="0" borderId="158" xfId="0" applyNumberFormat="1" applyFont="1" applyFill="1" applyBorder="1" applyAlignment="1" applyProtection="1">
      <alignment horizontal="center" vertical="center"/>
      <protection/>
    </xf>
    <xf numFmtId="0" fontId="0" fillId="0" borderId="159" xfId="0" applyFont="1" applyFill="1" applyBorder="1" applyAlignment="1" applyProtection="1">
      <alignment/>
      <protection/>
    </xf>
    <xf numFmtId="0" fontId="0" fillId="0" borderId="160" xfId="0" applyFont="1" applyFill="1" applyBorder="1" applyAlignment="1" applyProtection="1">
      <alignment/>
      <protection/>
    </xf>
    <xf numFmtId="179" fontId="0" fillId="0" borderId="41" xfId="0" applyNumberFormat="1" applyFont="1" applyFill="1" applyBorder="1" applyAlignment="1" applyProtection="1">
      <alignment horizontal="center"/>
      <protection/>
    </xf>
    <xf numFmtId="0" fontId="2" fillId="0" borderId="74" xfId="0" applyFont="1" applyBorder="1" applyAlignment="1">
      <alignment/>
    </xf>
    <xf numFmtId="0" fontId="22" fillId="0" borderId="121" xfId="0" applyFont="1" applyFill="1" applyBorder="1" applyAlignment="1" applyProtection="1">
      <alignment horizontal="right"/>
      <protection/>
    </xf>
    <xf numFmtId="179" fontId="0" fillId="35" borderId="10" xfId="0" applyNumberFormat="1" applyFont="1" applyFill="1" applyBorder="1" applyAlignment="1" applyProtection="1">
      <alignment/>
      <protection locked="0"/>
    </xf>
    <xf numFmtId="39" fontId="0" fillId="0" borderId="134" xfId="0" applyNumberFormat="1" applyFont="1" applyFill="1" applyBorder="1" applyAlignment="1" applyProtection="1">
      <alignment horizontal="center"/>
      <protection/>
    </xf>
    <xf numFmtId="0" fontId="2" fillId="0" borderId="121" xfId="0" applyFont="1" applyBorder="1" applyAlignment="1">
      <alignment horizontal="right"/>
    </xf>
    <xf numFmtId="0" fontId="2" fillId="0" borderId="121" xfId="0" applyFont="1" applyFill="1" applyBorder="1" applyAlignment="1" applyProtection="1">
      <alignment horizontal="right"/>
      <protection/>
    </xf>
    <xf numFmtId="18" fontId="2" fillId="35" borderId="10" xfId="0" applyNumberFormat="1" applyFont="1" applyFill="1" applyBorder="1" applyAlignment="1" applyProtection="1">
      <alignment horizontal="center"/>
      <protection locked="0"/>
    </xf>
    <xf numFmtId="0" fontId="2" fillId="0" borderId="121" xfId="0" applyFont="1" applyBorder="1" applyAlignment="1" applyProtection="1">
      <alignment horizontal="right"/>
      <protection/>
    </xf>
    <xf numFmtId="14" fontId="2" fillId="35" borderId="10" xfId="0" applyNumberFormat="1" applyFont="1" applyFill="1" applyBorder="1" applyAlignment="1" applyProtection="1">
      <alignment horizontal="center"/>
      <protection locked="0"/>
    </xf>
    <xf numFmtId="0" fontId="2" fillId="0" borderId="92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119" xfId="0" applyFont="1" applyBorder="1" applyAlignment="1">
      <alignment/>
    </xf>
    <xf numFmtId="0" fontId="22" fillId="0" borderId="128" xfId="0" applyFont="1" applyFill="1" applyBorder="1" applyAlignment="1" applyProtection="1">
      <alignment/>
      <protection/>
    </xf>
    <xf numFmtId="0" fontId="22" fillId="0" borderId="72" xfId="0" applyFont="1" applyBorder="1" applyAlignment="1" applyProtection="1">
      <alignment/>
      <protection/>
    </xf>
    <xf numFmtId="0" fontId="22" fillId="0" borderId="71" xfId="0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" fontId="0" fillId="35" borderId="10" xfId="0" applyNumberFormat="1" applyFont="1" applyFill="1" applyBorder="1" applyAlignment="1" applyProtection="1">
      <alignment/>
      <protection locked="0"/>
    </xf>
    <xf numFmtId="1" fontId="0" fillId="35" borderId="10" xfId="0" applyNumberFormat="1" applyFill="1" applyBorder="1" applyAlignment="1" applyProtection="1">
      <alignment/>
      <protection locked="0"/>
    </xf>
    <xf numFmtId="168" fontId="0" fillId="0" borderId="10" xfId="0" applyNumberForma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1" xfId="0" applyFont="1" applyBorder="1" applyAlignment="1" applyProtection="1">
      <alignment horizontal="right" vertical="center"/>
      <protection/>
    </xf>
    <xf numFmtId="0" fontId="0" fillId="0" borderId="61" xfId="0" applyBorder="1" applyAlignment="1" applyProtection="1">
      <alignment horizontal="right" vertical="center"/>
      <protection/>
    </xf>
    <xf numFmtId="0" fontId="0" fillId="0" borderId="74" xfId="0" applyBorder="1" applyAlignment="1" applyProtection="1">
      <alignment horizontal="right" vertical="center"/>
      <protection/>
    </xf>
    <xf numFmtId="0" fontId="19" fillId="35" borderId="0" xfId="0" applyFont="1" applyFill="1" applyAlignment="1" applyProtection="1">
      <alignment horizontal="center"/>
      <protection/>
    </xf>
    <xf numFmtId="0" fontId="20" fillId="35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1" fillId="0" borderId="117" xfId="0" applyFont="1" applyBorder="1" applyAlignment="1" applyProtection="1">
      <alignment horizontal="center"/>
      <protection/>
    </xf>
    <xf numFmtId="0" fontId="0" fillId="0" borderId="117" xfId="0" applyFont="1" applyBorder="1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2" fillId="0" borderId="117" xfId="0" applyFont="1" applyFill="1" applyBorder="1" applyAlignment="1" applyProtection="1">
      <alignment horizontal="center"/>
      <protection/>
    </xf>
    <xf numFmtId="0" fontId="0" fillId="0" borderId="117" xfId="0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17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17" xfId="0" applyFont="1" applyBorder="1" applyAlignment="1" applyProtection="1">
      <alignment horizontal="center"/>
      <protection/>
    </xf>
    <xf numFmtId="0" fontId="0" fillId="0" borderId="10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14" fontId="1" fillId="35" borderId="17" xfId="0" applyNumberFormat="1" applyFont="1" applyFill="1" applyBorder="1" applyAlignment="1" applyProtection="1">
      <alignment horizontal="center"/>
      <protection locked="0"/>
    </xf>
    <xf numFmtId="14" fontId="1" fillId="35" borderId="30" xfId="0" applyNumberFormat="1" applyFont="1" applyFill="1" applyBorder="1" applyAlignment="1" applyProtection="1">
      <alignment/>
      <protection locked="0"/>
    </xf>
    <xf numFmtId="0" fontId="39" fillId="35" borderId="0" xfId="0" applyFont="1" applyFill="1" applyAlignment="1" applyProtection="1">
      <alignment horizontal="center"/>
      <protection/>
    </xf>
    <xf numFmtId="0" fontId="40" fillId="35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5</xdr:row>
      <xdr:rowOff>57150</xdr:rowOff>
    </xdr:from>
    <xdr:to>
      <xdr:col>9</xdr:col>
      <xdr:colOff>47625</xdr:colOff>
      <xdr:row>7</xdr:row>
      <xdr:rowOff>0</xdr:rowOff>
    </xdr:to>
    <xdr:sp macro="[0]!gotodatasheet">
      <xdr:nvSpPr>
        <xdr:cNvPr id="1" name="Rectangle 11"/>
        <xdr:cNvSpPr>
          <a:spLocks/>
        </xdr:cNvSpPr>
      </xdr:nvSpPr>
      <xdr:spPr>
        <a:xfrm>
          <a:off x="4162425" y="1000125"/>
          <a:ext cx="13716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</a:t>
          </a:r>
        </a:p>
      </xdr:txBody>
    </xdr:sp>
    <xdr:clientData/>
  </xdr:twoCellAnchor>
  <xdr:twoCellAnchor>
    <xdr:from>
      <xdr:col>6</xdr:col>
      <xdr:colOff>504825</xdr:colOff>
      <xdr:row>8</xdr:row>
      <xdr:rowOff>85725</xdr:rowOff>
    </xdr:from>
    <xdr:to>
      <xdr:col>9</xdr:col>
      <xdr:colOff>47625</xdr:colOff>
      <xdr:row>11</xdr:row>
      <xdr:rowOff>66675</xdr:rowOff>
    </xdr:to>
    <xdr:sp macro="[0]!printfullboxbeamreport">
      <xdr:nvSpPr>
        <xdr:cNvPr id="2" name="Rectangle 18"/>
        <xdr:cNvSpPr>
          <a:spLocks/>
        </xdr:cNvSpPr>
      </xdr:nvSpPr>
      <xdr:spPr>
        <a:xfrm>
          <a:off x="4162425" y="1514475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Full Report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Beam</a:t>
          </a:r>
        </a:p>
      </xdr:txBody>
    </xdr:sp>
    <xdr:clientData/>
  </xdr:twoCellAnchor>
  <xdr:twoCellAnchor>
    <xdr:from>
      <xdr:col>6</xdr:col>
      <xdr:colOff>504825</xdr:colOff>
      <xdr:row>2</xdr:row>
      <xdr:rowOff>38100</xdr:rowOff>
    </xdr:from>
    <xdr:to>
      <xdr:col>9</xdr:col>
      <xdr:colOff>47625</xdr:colOff>
      <xdr:row>3</xdr:row>
      <xdr:rowOff>133350</xdr:rowOff>
    </xdr:to>
    <xdr:sp macro="[0]!gotofinalsheet">
      <xdr:nvSpPr>
        <xdr:cNvPr id="3" name="Rectangle 3"/>
        <xdr:cNvSpPr>
          <a:spLocks/>
        </xdr:cNvSpPr>
      </xdr:nvSpPr>
      <xdr:spPr>
        <a:xfrm>
          <a:off x="4162425" y="49530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Final</a:t>
          </a:r>
        </a:p>
      </xdr:txBody>
    </xdr:sp>
    <xdr:clientData/>
  </xdr:twoCellAnchor>
  <xdr:twoCellAnchor>
    <xdr:from>
      <xdr:col>0</xdr:col>
      <xdr:colOff>476250</xdr:colOff>
      <xdr:row>2</xdr:row>
      <xdr:rowOff>38100</xdr:rowOff>
    </xdr:from>
    <xdr:to>
      <xdr:col>3</xdr:col>
      <xdr:colOff>19050</xdr:colOff>
      <xdr:row>3</xdr:row>
      <xdr:rowOff>142875</xdr:rowOff>
    </xdr:to>
    <xdr:sp macro="[0]!gotoinputsheet">
      <xdr:nvSpPr>
        <xdr:cNvPr id="4" name="Rectangle 1"/>
        <xdr:cNvSpPr>
          <a:spLocks/>
        </xdr:cNvSpPr>
      </xdr:nvSpPr>
      <xdr:spPr>
        <a:xfrm>
          <a:off x="476250" y="495300"/>
          <a:ext cx="13716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Area</a:t>
          </a:r>
        </a:p>
      </xdr:txBody>
    </xdr:sp>
    <xdr:clientData/>
  </xdr:twoCellAnchor>
  <xdr:twoCellAnchor>
    <xdr:from>
      <xdr:col>0</xdr:col>
      <xdr:colOff>476250</xdr:colOff>
      <xdr:row>17</xdr:row>
      <xdr:rowOff>104775</xdr:rowOff>
    </xdr:from>
    <xdr:to>
      <xdr:col>3</xdr:col>
      <xdr:colOff>19050</xdr:colOff>
      <xdr:row>19</xdr:row>
      <xdr:rowOff>47625</xdr:rowOff>
    </xdr:to>
    <xdr:sp macro="[0]!gotothermalsheet">
      <xdr:nvSpPr>
        <xdr:cNvPr id="5" name="Rectangle 2"/>
        <xdr:cNvSpPr>
          <a:spLocks/>
        </xdr:cNvSpPr>
      </xdr:nvSpPr>
      <xdr:spPr>
        <a:xfrm>
          <a:off x="476250" y="2990850"/>
          <a:ext cx="13716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Thermal</a:t>
          </a:r>
        </a:p>
      </xdr:txBody>
    </xdr:sp>
    <xdr:clientData/>
  </xdr:twoCellAnchor>
  <xdr:twoCellAnchor>
    <xdr:from>
      <xdr:col>0</xdr:col>
      <xdr:colOff>476250</xdr:colOff>
      <xdr:row>20</xdr:row>
      <xdr:rowOff>85725</xdr:rowOff>
    </xdr:from>
    <xdr:to>
      <xdr:col>3</xdr:col>
      <xdr:colOff>19050</xdr:colOff>
      <xdr:row>23</xdr:row>
      <xdr:rowOff>57150</xdr:rowOff>
    </xdr:to>
    <xdr:sp macro="[0]!gotosingletesheet">
      <xdr:nvSpPr>
        <xdr:cNvPr id="6" name="Rectangle 4"/>
        <xdr:cNvSpPr>
          <a:spLocks/>
        </xdr:cNvSpPr>
      </xdr:nvSpPr>
      <xdr:spPr>
        <a:xfrm>
          <a:off x="476250" y="3457575"/>
          <a:ext cx="1371600" cy="457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Singlet Elongations</a:t>
          </a:r>
        </a:p>
      </xdr:txBody>
    </xdr:sp>
    <xdr:clientData/>
  </xdr:twoCellAnchor>
  <xdr:twoCellAnchor>
    <xdr:from>
      <xdr:col>0</xdr:col>
      <xdr:colOff>476250</xdr:colOff>
      <xdr:row>27</xdr:row>
      <xdr:rowOff>76200</xdr:rowOff>
    </xdr:from>
    <xdr:to>
      <xdr:col>3</xdr:col>
      <xdr:colOff>19050</xdr:colOff>
      <xdr:row>29</xdr:row>
      <xdr:rowOff>9525</xdr:rowOff>
    </xdr:to>
    <xdr:sp macro="[0]!gotoboxten1sheet">
      <xdr:nvSpPr>
        <xdr:cNvPr id="7" name="Rectangle 5"/>
        <xdr:cNvSpPr>
          <a:spLocks/>
        </xdr:cNvSpPr>
      </xdr:nvSpPr>
      <xdr:spPr>
        <a:xfrm>
          <a:off x="476250" y="4581525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Ten 1</a:t>
          </a:r>
        </a:p>
      </xdr:txBody>
    </xdr:sp>
    <xdr:clientData/>
  </xdr:twoCellAnchor>
  <xdr:twoCellAnchor>
    <xdr:from>
      <xdr:col>0</xdr:col>
      <xdr:colOff>476250</xdr:colOff>
      <xdr:row>5</xdr:row>
      <xdr:rowOff>28575</xdr:rowOff>
    </xdr:from>
    <xdr:to>
      <xdr:col>3</xdr:col>
      <xdr:colOff>19050</xdr:colOff>
      <xdr:row>8</xdr:row>
      <xdr:rowOff>9525</xdr:rowOff>
    </xdr:to>
    <xdr:sp macro="[0]!gotosetupbminputsheet">
      <xdr:nvSpPr>
        <xdr:cNvPr id="8" name="Rectangle 2"/>
        <xdr:cNvSpPr>
          <a:spLocks/>
        </xdr:cNvSpPr>
      </xdr:nvSpPr>
      <xdr:spPr>
        <a:xfrm>
          <a:off x="476250" y="97155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Setup Beam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Area</a:t>
          </a:r>
        </a:p>
      </xdr:txBody>
    </xdr:sp>
    <xdr:clientData/>
  </xdr:twoCellAnchor>
  <xdr:twoCellAnchor>
    <xdr:from>
      <xdr:col>0</xdr:col>
      <xdr:colOff>476250</xdr:colOff>
      <xdr:row>9</xdr:row>
      <xdr:rowOff>47625</xdr:rowOff>
    </xdr:from>
    <xdr:to>
      <xdr:col>3</xdr:col>
      <xdr:colOff>19050</xdr:colOff>
      <xdr:row>12</xdr:row>
      <xdr:rowOff>28575</xdr:rowOff>
    </xdr:to>
    <xdr:sp macro="[0]!gotoanchmovesheet">
      <xdr:nvSpPr>
        <xdr:cNvPr id="9" name="Rectangle 2"/>
        <xdr:cNvSpPr>
          <a:spLocks/>
        </xdr:cNvSpPr>
      </xdr:nvSpPr>
      <xdr:spPr>
        <a:xfrm>
          <a:off x="476250" y="163830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Anchorage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</a:t>
          </a:r>
        </a:p>
      </xdr:txBody>
    </xdr:sp>
    <xdr:clientData/>
  </xdr:twoCellAnchor>
  <xdr:twoCellAnchor>
    <xdr:from>
      <xdr:col>0</xdr:col>
      <xdr:colOff>476250</xdr:colOff>
      <xdr:row>13</xdr:row>
      <xdr:rowOff>66675</xdr:rowOff>
    </xdr:from>
    <xdr:to>
      <xdr:col>3</xdr:col>
      <xdr:colOff>19050</xdr:colOff>
      <xdr:row>16</xdr:row>
      <xdr:rowOff>66675</xdr:rowOff>
    </xdr:to>
    <xdr:sp macro="[0]!gotoselfstresssheet">
      <xdr:nvSpPr>
        <xdr:cNvPr id="10" name="Rectangle 2"/>
        <xdr:cNvSpPr>
          <a:spLocks/>
        </xdr:cNvSpPr>
      </xdr:nvSpPr>
      <xdr:spPr>
        <a:xfrm>
          <a:off x="476250" y="2305050"/>
          <a:ext cx="1371600" cy="485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Self-Stressing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</a:t>
          </a:r>
        </a:p>
      </xdr:txBody>
    </xdr:sp>
    <xdr:clientData/>
  </xdr:twoCellAnchor>
  <xdr:twoCellAnchor>
    <xdr:from>
      <xdr:col>0</xdr:col>
      <xdr:colOff>476250</xdr:colOff>
      <xdr:row>24</xdr:row>
      <xdr:rowOff>95250</xdr:rowOff>
    </xdr:from>
    <xdr:to>
      <xdr:col>3</xdr:col>
      <xdr:colOff>19050</xdr:colOff>
      <xdr:row>26</xdr:row>
      <xdr:rowOff>28575</xdr:rowOff>
    </xdr:to>
    <xdr:sp macro="[0]!gotosingletfsheet">
      <xdr:nvSpPr>
        <xdr:cNvPr id="11" name="Rectangle 4"/>
        <xdr:cNvSpPr>
          <a:spLocks/>
        </xdr:cNvSpPr>
      </xdr:nvSpPr>
      <xdr:spPr>
        <a:xfrm>
          <a:off x="476250" y="411480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Singlet Forces</a:t>
          </a:r>
        </a:p>
      </xdr:txBody>
    </xdr:sp>
    <xdr:clientData/>
  </xdr:twoCellAnchor>
  <xdr:twoCellAnchor>
    <xdr:from>
      <xdr:col>3</xdr:col>
      <xdr:colOff>485775</xdr:colOff>
      <xdr:row>14</xdr:row>
      <xdr:rowOff>114300</xdr:rowOff>
    </xdr:from>
    <xdr:to>
      <xdr:col>6</xdr:col>
      <xdr:colOff>28575</xdr:colOff>
      <xdr:row>16</xdr:row>
      <xdr:rowOff>66675</xdr:rowOff>
    </xdr:to>
    <xdr:sp macro="[0]!gotopour1sheet">
      <xdr:nvSpPr>
        <xdr:cNvPr id="12" name="Rectangle 6"/>
        <xdr:cNvSpPr>
          <a:spLocks/>
        </xdr:cNvSpPr>
      </xdr:nvSpPr>
      <xdr:spPr>
        <a:xfrm>
          <a:off x="2314575" y="2514600"/>
          <a:ext cx="1371600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1</a:t>
          </a:r>
        </a:p>
      </xdr:txBody>
    </xdr:sp>
    <xdr:clientData/>
  </xdr:twoCellAnchor>
  <xdr:twoCellAnchor>
    <xdr:from>
      <xdr:col>3</xdr:col>
      <xdr:colOff>485775</xdr:colOff>
      <xdr:row>11</xdr:row>
      <xdr:rowOff>95250</xdr:rowOff>
    </xdr:from>
    <xdr:to>
      <xdr:col>6</xdr:col>
      <xdr:colOff>28575</xdr:colOff>
      <xdr:row>13</xdr:row>
      <xdr:rowOff>38100</xdr:rowOff>
    </xdr:to>
    <xdr:sp macro="[0]!gotosourcesheet">
      <xdr:nvSpPr>
        <xdr:cNvPr id="13" name="Rectangle 8"/>
        <xdr:cNvSpPr>
          <a:spLocks/>
        </xdr:cNvSpPr>
      </xdr:nvSpPr>
      <xdr:spPr>
        <a:xfrm>
          <a:off x="2314575" y="2009775"/>
          <a:ext cx="13716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</a:p>
      </xdr:txBody>
    </xdr:sp>
    <xdr:clientData/>
  </xdr:twoCellAnchor>
  <xdr:twoCellAnchor>
    <xdr:from>
      <xdr:col>3</xdr:col>
      <xdr:colOff>485775</xdr:colOff>
      <xdr:row>27</xdr:row>
      <xdr:rowOff>66675</xdr:rowOff>
    </xdr:from>
    <xdr:to>
      <xdr:col>6</xdr:col>
      <xdr:colOff>28575</xdr:colOff>
      <xdr:row>29</xdr:row>
      <xdr:rowOff>9525</xdr:rowOff>
    </xdr:to>
    <xdr:sp macro="[0]!gotoassnsheet">
      <xdr:nvSpPr>
        <xdr:cNvPr id="14" name="Rectangle 13"/>
        <xdr:cNvSpPr>
          <a:spLocks/>
        </xdr:cNvSpPr>
      </xdr:nvSpPr>
      <xdr:spPr>
        <a:xfrm>
          <a:off x="2314575" y="4572000"/>
          <a:ext cx="13716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Assn</a:t>
          </a:r>
        </a:p>
      </xdr:txBody>
    </xdr:sp>
    <xdr:clientData/>
  </xdr:twoCellAnchor>
  <xdr:twoCellAnchor>
    <xdr:from>
      <xdr:col>3</xdr:col>
      <xdr:colOff>485775</xdr:colOff>
      <xdr:row>5</xdr:row>
      <xdr:rowOff>76200</xdr:rowOff>
    </xdr:from>
    <xdr:to>
      <xdr:col>6</xdr:col>
      <xdr:colOff>28575</xdr:colOff>
      <xdr:row>7</xdr:row>
      <xdr:rowOff>9525</xdr:rowOff>
    </xdr:to>
    <xdr:sp macro="[0]!gotoibeamten1sheet">
      <xdr:nvSpPr>
        <xdr:cNvPr id="15" name="Rectangle 14"/>
        <xdr:cNvSpPr>
          <a:spLocks/>
        </xdr:cNvSpPr>
      </xdr:nvSpPr>
      <xdr:spPr>
        <a:xfrm>
          <a:off x="2314575" y="1019175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I-Beam Ten 1</a:t>
          </a:r>
        </a:p>
      </xdr:txBody>
    </xdr:sp>
    <xdr:clientData/>
  </xdr:twoCellAnchor>
  <xdr:twoCellAnchor>
    <xdr:from>
      <xdr:col>3</xdr:col>
      <xdr:colOff>485775</xdr:colOff>
      <xdr:row>21</xdr:row>
      <xdr:rowOff>9525</xdr:rowOff>
    </xdr:from>
    <xdr:to>
      <xdr:col>6</xdr:col>
      <xdr:colOff>28575</xdr:colOff>
      <xdr:row>22</xdr:row>
      <xdr:rowOff>114300</xdr:rowOff>
    </xdr:to>
    <xdr:sp macro="[0]!gotoboxtolsheet">
      <xdr:nvSpPr>
        <xdr:cNvPr id="16" name="Rectangle 12"/>
        <xdr:cNvSpPr>
          <a:spLocks/>
        </xdr:cNvSpPr>
      </xdr:nvSpPr>
      <xdr:spPr>
        <a:xfrm>
          <a:off x="2314575" y="3543300"/>
          <a:ext cx="13716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Tol</a:t>
          </a:r>
        </a:p>
      </xdr:txBody>
    </xdr:sp>
    <xdr:clientData/>
  </xdr:twoCellAnchor>
  <xdr:twoCellAnchor>
    <xdr:from>
      <xdr:col>3</xdr:col>
      <xdr:colOff>485775</xdr:colOff>
      <xdr:row>17</xdr:row>
      <xdr:rowOff>142875</xdr:rowOff>
    </xdr:from>
    <xdr:to>
      <xdr:col>6</xdr:col>
      <xdr:colOff>28575</xdr:colOff>
      <xdr:row>19</xdr:row>
      <xdr:rowOff>95250</xdr:rowOff>
    </xdr:to>
    <xdr:sp macro="[0]!gotopour2sheet">
      <xdr:nvSpPr>
        <xdr:cNvPr id="17" name="Rectangle 6"/>
        <xdr:cNvSpPr>
          <a:spLocks/>
        </xdr:cNvSpPr>
      </xdr:nvSpPr>
      <xdr:spPr>
        <a:xfrm>
          <a:off x="2314575" y="3028950"/>
          <a:ext cx="1371600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2</a:t>
          </a:r>
        </a:p>
      </xdr:txBody>
    </xdr:sp>
    <xdr:clientData/>
  </xdr:twoCellAnchor>
  <xdr:twoCellAnchor>
    <xdr:from>
      <xdr:col>3</xdr:col>
      <xdr:colOff>485775</xdr:colOff>
      <xdr:row>24</xdr:row>
      <xdr:rowOff>28575</xdr:rowOff>
    </xdr:from>
    <xdr:to>
      <xdr:col>6</xdr:col>
      <xdr:colOff>28575</xdr:colOff>
      <xdr:row>25</xdr:row>
      <xdr:rowOff>142875</xdr:rowOff>
    </xdr:to>
    <xdr:sp macro="[0]!gotoibeamtolsheet">
      <xdr:nvSpPr>
        <xdr:cNvPr id="18" name="Rectangle 12"/>
        <xdr:cNvSpPr>
          <a:spLocks/>
        </xdr:cNvSpPr>
      </xdr:nvSpPr>
      <xdr:spPr>
        <a:xfrm>
          <a:off x="2314575" y="4048125"/>
          <a:ext cx="1371600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I-Beam Tol</a:t>
          </a:r>
        </a:p>
      </xdr:txBody>
    </xdr:sp>
    <xdr:clientData/>
  </xdr:twoCellAnchor>
  <xdr:twoCellAnchor>
    <xdr:from>
      <xdr:col>3</xdr:col>
      <xdr:colOff>485775</xdr:colOff>
      <xdr:row>2</xdr:row>
      <xdr:rowOff>38100</xdr:rowOff>
    </xdr:from>
    <xdr:to>
      <xdr:col>6</xdr:col>
      <xdr:colOff>28575</xdr:colOff>
      <xdr:row>3</xdr:row>
      <xdr:rowOff>133350</xdr:rowOff>
    </xdr:to>
    <xdr:sp macro="[0]!gotoboxten2sheet">
      <xdr:nvSpPr>
        <xdr:cNvPr id="19" name="Rectangle 5"/>
        <xdr:cNvSpPr>
          <a:spLocks/>
        </xdr:cNvSpPr>
      </xdr:nvSpPr>
      <xdr:spPr>
        <a:xfrm>
          <a:off x="2314575" y="49530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Ten 2</a:t>
          </a:r>
        </a:p>
      </xdr:txBody>
    </xdr:sp>
    <xdr:clientData/>
  </xdr:twoCellAnchor>
  <xdr:twoCellAnchor>
    <xdr:from>
      <xdr:col>3</xdr:col>
      <xdr:colOff>485775</xdr:colOff>
      <xdr:row>8</xdr:row>
      <xdr:rowOff>114300</xdr:rowOff>
    </xdr:from>
    <xdr:to>
      <xdr:col>6</xdr:col>
      <xdr:colOff>28575</xdr:colOff>
      <xdr:row>10</xdr:row>
      <xdr:rowOff>47625</xdr:rowOff>
    </xdr:to>
    <xdr:sp macro="[0]!gotoibeamten2sheet">
      <xdr:nvSpPr>
        <xdr:cNvPr id="20" name="Rectangle 14"/>
        <xdr:cNvSpPr>
          <a:spLocks/>
        </xdr:cNvSpPr>
      </xdr:nvSpPr>
      <xdr:spPr>
        <a:xfrm>
          <a:off x="2314575" y="1543050"/>
          <a:ext cx="1371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I-Beam Ten 2</a:t>
          </a:r>
        </a:p>
      </xdr:txBody>
    </xdr:sp>
    <xdr:clientData/>
  </xdr:twoCellAnchor>
  <xdr:twoCellAnchor>
    <xdr:from>
      <xdr:col>6</xdr:col>
      <xdr:colOff>504825</xdr:colOff>
      <xdr:row>12</xdr:row>
      <xdr:rowOff>152400</xdr:rowOff>
    </xdr:from>
    <xdr:to>
      <xdr:col>9</xdr:col>
      <xdr:colOff>47625</xdr:colOff>
      <xdr:row>15</xdr:row>
      <xdr:rowOff>133350</xdr:rowOff>
    </xdr:to>
    <xdr:sp macro="[0]!printfullibeamreport">
      <xdr:nvSpPr>
        <xdr:cNvPr id="21" name="Rectangle 18"/>
        <xdr:cNvSpPr>
          <a:spLocks/>
        </xdr:cNvSpPr>
      </xdr:nvSpPr>
      <xdr:spPr>
        <a:xfrm>
          <a:off x="4162425" y="2228850"/>
          <a:ext cx="1371600" cy="466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Full Report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I- or BulbT-Beam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219075</xdr:colOff>
      <xdr:row>0</xdr:row>
      <xdr:rowOff>95250</xdr:rowOff>
    </xdr:from>
    <xdr:ext cx="942975" cy="266700"/>
    <xdr:sp macro="[0]!returntomain">
      <xdr:nvSpPr>
        <xdr:cNvPr id="1" name="Rectangle 7"/>
        <xdr:cNvSpPr>
          <a:spLocks/>
        </xdr:cNvSpPr>
      </xdr:nvSpPr>
      <xdr:spPr>
        <a:xfrm>
          <a:off x="8191500" y="95250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228600</xdr:colOff>
      <xdr:row>2</xdr:row>
      <xdr:rowOff>123825</xdr:rowOff>
    </xdr:from>
    <xdr:ext cx="1219200" cy="266700"/>
    <xdr:sp macro="[0]!printboxsheet">
      <xdr:nvSpPr>
        <xdr:cNvPr id="2" name="Rectangle 8"/>
        <xdr:cNvSpPr>
          <a:spLocks/>
        </xdr:cNvSpPr>
      </xdr:nvSpPr>
      <xdr:spPr>
        <a:xfrm>
          <a:off x="8201025" y="447675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1</xdr:row>
      <xdr:rowOff>123825</xdr:rowOff>
    </xdr:from>
    <xdr:ext cx="942975" cy="266700"/>
    <xdr:sp macro="[0]!returntomain">
      <xdr:nvSpPr>
        <xdr:cNvPr id="1" name="Rectangle 11"/>
        <xdr:cNvSpPr>
          <a:spLocks/>
        </xdr:cNvSpPr>
      </xdr:nvSpPr>
      <xdr:spPr>
        <a:xfrm>
          <a:off x="7877175" y="285750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76200</xdr:colOff>
      <xdr:row>3</xdr:row>
      <xdr:rowOff>142875</xdr:rowOff>
    </xdr:from>
    <xdr:ext cx="1219200" cy="266700"/>
    <xdr:sp macro="[0]!printibeamsheet">
      <xdr:nvSpPr>
        <xdr:cNvPr id="2" name="Rectangle 12"/>
        <xdr:cNvSpPr>
          <a:spLocks/>
        </xdr:cNvSpPr>
      </xdr:nvSpPr>
      <xdr:spPr>
        <a:xfrm>
          <a:off x="7877175" y="666750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1</xdr:row>
      <xdr:rowOff>123825</xdr:rowOff>
    </xdr:from>
    <xdr:ext cx="942975" cy="266700"/>
    <xdr:sp macro="[0]!returntomain">
      <xdr:nvSpPr>
        <xdr:cNvPr id="1" name="Rectangle 11"/>
        <xdr:cNvSpPr>
          <a:spLocks/>
        </xdr:cNvSpPr>
      </xdr:nvSpPr>
      <xdr:spPr>
        <a:xfrm>
          <a:off x="7905750" y="285750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76200</xdr:colOff>
      <xdr:row>3</xdr:row>
      <xdr:rowOff>142875</xdr:rowOff>
    </xdr:from>
    <xdr:ext cx="1219200" cy="266700"/>
    <xdr:sp macro="[0]!printibeamsheet">
      <xdr:nvSpPr>
        <xdr:cNvPr id="2" name="Rectangle 12"/>
        <xdr:cNvSpPr>
          <a:spLocks/>
        </xdr:cNvSpPr>
      </xdr:nvSpPr>
      <xdr:spPr>
        <a:xfrm>
          <a:off x="7905750" y="666750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1</xdr:row>
      <xdr:rowOff>133350</xdr:rowOff>
    </xdr:from>
    <xdr:ext cx="942975" cy="266700"/>
    <xdr:sp macro="[0]!returntomain">
      <xdr:nvSpPr>
        <xdr:cNvPr id="1" name="Rectangle 15"/>
        <xdr:cNvSpPr>
          <a:spLocks/>
        </xdr:cNvSpPr>
      </xdr:nvSpPr>
      <xdr:spPr>
        <a:xfrm>
          <a:off x="5572125" y="295275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5</xdr:col>
      <xdr:colOff>609600</xdr:colOff>
      <xdr:row>3</xdr:row>
      <xdr:rowOff>114300</xdr:rowOff>
    </xdr:from>
    <xdr:ext cx="1219200" cy="266700"/>
    <xdr:sp macro="[0]!printsourcesheet">
      <xdr:nvSpPr>
        <xdr:cNvPr id="2" name="Rectangle 17"/>
        <xdr:cNvSpPr>
          <a:spLocks/>
        </xdr:cNvSpPr>
      </xdr:nvSpPr>
      <xdr:spPr>
        <a:xfrm>
          <a:off x="5572125" y="638175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0</xdr:row>
      <xdr:rowOff>28575</xdr:rowOff>
    </xdr:from>
    <xdr:ext cx="942975" cy="266700"/>
    <xdr:sp macro="[0]!returntomain">
      <xdr:nvSpPr>
        <xdr:cNvPr id="1" name="Rectangle 16"/>
        <xdr:cNvSpPr>
          <a:spLocks/>
        </xdr:cNvSpPr>
      </xdr:nvSpPr>
      <xdr:spPr>
        <a:xfrm>
          <a:off x="7267575" y="28575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8</xdr:col>
      <xdr:colOff>466725</xdr:colOff>
      <xdr:row>2</xdr:row>
      <xdr:rowOff>57150</xdr:rowOff>
    </xdr:from>
    <xdr:ext cx="1219200" cy="266700"/>
    <xdr:sp macro="[0]!printpoursheet">
      <xdr:nvSpPr>
        <xdr:cNvPr id="2" name="Rectangle 18"/>
        <xdr:cNvSpPr>
          <a:spLocks/>
        </xdr:cNvSpPr>
      </xdr:nvSpPr>
      <xdr:spPr>
        <a:xfrm>
          <a:off x="7267575" y="381000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466725</xdr:colOff>
      <xdr:row>4</xdr:row>
      <xdr:rowOff>104775</xdr:rowOff>
    </xdr:from>
    <xdr:ext cx="1238250" cy="266700"/>
    <xdr:sp macro="[0]!SecondPourPlus">
      <xdr:nvSpPr>
        <xdr:cNvPr id="3" name="Rectangle 16"/>
        <xdr:cNvSpPr>
          <a:spLocks/>
        </xdr:cNvSpPr>
      </xdr:nvSpPr>
      <xdr:spPr>
        <a:xfrm>
          <a:off x="7267575" y="752475"/>
          <a:ext cx="123825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Erase Main Data</a:t>
          </a:r>
        </a:p>
      </xdr:txBody>
    </xdr:sp>
    <xdr:clientData fPrint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0</xdr:row>
      <xdr:rowOff>28575</xdr:rowOff>
    </xdr:from>
    <xdr:ext cx="942975" cy="266700"/>
    <xdr:sp macro="[0]!returntomain">
      <xdr:nvSpPr>
        <xdr:cNvPr id="1" name="Rectangle 16"/>
        <xdr:cNvSpPr>
          <a:spLocks/>
        </xdr:cNvSpPr>
      </xdr:nvSpPr>
      <xdr:spPr>
        <a:xfrm>
          <a:off x="7267575" y="28575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8</xdr:col>
      <xdr:colOff>466725</xdr:colOff>
      <xdr:row>2</xdr:row>
      <xdr:rowOff>57150</xdr:rowOff>
    </xdr:from>
    <xdr:ext cx="1219200" cy="266700"/>
    <xdr:sp macro="[0]!printpoursheet">
      <xdr:nvSpPr>
        <xdr:cNvPr id="2" name="Rectangle 18"/>
        <xdr:cNvSpPr>
          <a:spLocks/>
        </xdr:cNvSpPr>
      </xdr:nvSpPr>
      <xdr:spPr>
        <a:xfrm>
          <a:off x="7267575" y="381000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8</xdr:col>
      <xdr:colOff>466725</xdr:colOff>
      <xdr:row>4</xdr:row>
      <xdr:rowOff>104775</xdr:rowOff>
    </xdr:from>
    <xdr:ext cx="1238250" cy="266700"/>
    <xdr:sp macro="[0]!SecondPourPlus">
      <xdr:nvSpPr>
        <xdr:cNvPr id="3" name="Rectangle 16"/>
        <xdr:cNvSpPr>
          <a:spLocks/>
        </xdr:cNvSpPr>
      </xdr:nvSpPr>
      <xdr:spPr>
        <a:xfrm>
          <a:off x="7267575" y="752475"/>
          <a:ext cx="123825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Erase Main Data</a:t>
          </a:r>
        </a:p>
      </xdr:txBody>
    </xdr:sp>
    <xdr:clientData fPrint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219075</xdr:colOff>
      <xdr:row>0</xdr:row>
      <xdr:rowOff>114300</xdr:rowOff>
    </xdr:from>
    <xdr:ext cx="942975" cy="266700"/>
    <xdr:sp macro="[0]!returntomain">
      <xdr:nvSpPr>
        <xdr:cNvPr id="1" name="Rectangle 13"/>
        <xdr:cNvSpPr>
          <a:spLocks/>
        </xdr:cNvSpPr>
      </xdr:nvSpPr>
      <xdr:spPr>
        <a:xfrm>
          <a:off x="6572250" y="114300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8</xdr:col>
      <xdr:colOff>228600</xdr:colOff>
      <xdr:row>2</xdr:row>
      <xdr:rowOff>85725</xdr:rowOff>
    </xdr:from>
    <xdr:ext cx="1219200" cy="266700"/>
    <xdr:sp macro="[0]!printbeamsheet">
      <xdr:nvSpPr>
        <xdr:cNvPr id="2" name="Rectangle 14"/>
        <xdr:cNvSpPr>
          <a:spLocks/>
        </xdr:cNvSpPr>
      </xdr:nvSpPr>
      <xdr:spPr>
        <a:xfrm>
          <a:off x="6581775" y="485775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219075</xdr:colOff>
      <xdr:row>0</xdr:row>
      <xdr:rowOff>114300</xdr:rowOff>
    </xdr:from>
    <xdr:ext cx="942975" cy="266700"/>
    <xdr:sp macro="[0]!returntomain">
      <xdr:nvSpPr>
        <xdr:cNvPr id="1" name="Rectangle 13"/>
        <xdr:cNvSpPr>
          <a:spLocks/>
        </xdr:cNvSpPr>
      </xdr:nvSpPr>
      <xdr:spPr>
        <a:xfrm>
          <a:off x="6238875" y="114300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8</xdr:col>
      <xdr:colOff>228600</xdr:colOff>
      <xdr:row>2</xdr:row>
      <xdr:rowOff>85725</xdr:rowOff>
    </xdr:from>
    <xdr:ext cx="1219200" cy="266700"/>
    <xdr:sp macro="[0]!printbeamsheet">
      <xdr:nvSpPr>
        <xdr:cNvPr id="2" name="Rectangle 14"/>
        <xdr:cNvSpPr>
          <a:spLocks/>
        </xdr:cNvSpPr>
      </xdr:nvSpPr>
      <xdr:spPr>
        <a:xfrm>
          <a:off x="6248400" y="485775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685800</xdr:colOff>
      <xdr:row>1</xdr:row>
      <xdr:rowOff>114300</xdr:rowOff>
    </xdr:from>
    <xdr:ext cx="942975" cy="266700"/>
    <xdr:sp macro="[0]!returntomain">
      <xdr:nvSpPr>
        <xdr:cNvPr id="1" name="Rectangle 5"/>
        <xdr:cNvSpPr>
          <a:spLocks/>
        </xdr:cNvSpPr>
      </xdr:nvSpPr>
      <xdr:spPr>
        <a:xfrm>
          <a:off x="7867650" y="276225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7</xdr:col>
      <xdr:colOff>438150</xdr:colOff>
      <xdr:row>3</xdr:row>
      <xdr:rowOff>123825</xdr:rowOff>
    </xdr:from>
    <xdr:ext cx="1219200" cy="266700"/>
    <xdr:sp macro="[0]!printassnsheet">
      <xdr:nvSpPr>
        <xdr:cNvPr id="2" name="Rectangle 6"/>
        <xdr:cNvSpPr>
          <a:spLocks/>
        </xdr:cNvSpPr>
      </xdr:nvSpPr>
      <xdr:spPr>
        <a:xfrm>
          <a:off x="7620000" y="647700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457200</xdr:colOff>
      <xdr:row>0</xdr:row>
      <xdr:rowOff>57150</xdr:rowOff>
    </xdr:from>
    <xdr:ext cx="942975" cy="266700"/>
    <xdr:sp macro="[0]!returntomain">
      <xdr:nvSpPr>
        <xdr:cNvPr id="1" name="Rectangle 3"/>
        <xdr:cNvSpPr>
          <a:spLocks/>
        </xdr:cNvSpPr>
      </xdr:nvSpPr>
      <xdr:spPr>
        <a:xfrm>
          <a:off x="6010275" y="57150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7</xdr:col>
      <xdr:colOff>85725</xdr:colOff>
      <xdr:row>0</xdr:row>
      <xdr:rowOff>57150</xdr:rowOff>
    </xdr:from>
    <xdr:ext cx="1219200" cy="266700"/>
    <xdr:sp macro="[0]!printfinalsheet">
      <xdr:nvSpPr>
        <xdr:cNvPr id="2" name="Rectangle 4"/>
        <xdr:cNvSpPr>
          <a:spLocks/>
        </xdr:cNvSpPr>
      </xdr:nvSpPr>
      <xdr:spPr>
        <a:xfrm>
          <a:off x="7067550" y="57150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95250</xdr:colOff>
      <xdr:row>0</xdr:row>
      <xdr:rowOff>66675</xdr:rowOff>
    </xdr:from>
    <xdr:ext cx="942975" cy="266700"/>
    <xdr:sp macro="[0]!returntomain">
      <xdr:nvSpPr>
        <xdr:cNvPr id="1" name="Rectangle 55"/>
        <xdr:cNvSpPr>
          <a:spLocks/>
        </xdr:cNvSpPr>
      </xdr:nvSpPr>
      <xdr:spPr>
        <a:xfrm>
          <a:off x="7686675" y="66675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0</xdr:row>
      <xdr:rowOff>228600</xdr:rowOff>
    </xdr:from>
    <xdr:ext cx="942975" cy="266700"/>
    <xdr:sp macro="[0]!returntomain">
      <xdr:nvSpPr>
        <xdr:cNvPr id="1" name="Rectangle 6"/>
        <xdr:cNvSpPr>
          <a:spLocks/>
        </xdr:cNvSpPr>
      </xdr:nvSpPr>
      <xdr:spPr>
        <a:xfrm>
          <a:off x="1657350" y="228600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552450</xdr:colOff>
      <xdr:row>0</xdr:row>
      <xdr:rowOff>66675</xdr:rowOff>
    </xdr:from>
    <xdr:ext cx="942975" cy="266700"/>
    <xdr:sp macro="[0]!returntomain">
      <xdr:nvSpPr>
        <xdr:cNvPr id="1" name="Rectangle 11"/>
        <xdr:cNvSpPr>
          <a:spLocks/>
        </xdr:cNvSpPr>
      </xdr:nvSpPr>
      <xdr:spPr>
        <a:xfrm>
          <a:off x="6791325" y="66675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7</xdr:col>
      <xdr:colOff>904875</xdr:colOff>
      <xdr:row>0</xdr:row>
      <xdr:rowOff>66675</xdr:rowOff>
    </xdr:from>
    <xdr:ext cx="1095375" cy="266700"/>
    <xdr:sp macro="[0]!printsetupbminputsheet">
      <xdr:nvSpPr>
        <xdr:cNvPr id="2" name="Rectangle 3"/>
        <xdr:cNvSpPr>
          <a:spLocks/>
        </xdr:cNvSpPr>
      </xdr:nvSpPr>
      <xdr:spPr>
        <a:xfrm>
          <a:off x="7943850" y="66675"/>
          <a:ext cx="10953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SHEET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114300</xdr:rowOff>
    </xdr:from>
    <xdr:ext cx="942975" cy="266700"/>
    <xdr:sp macro="[0]!returntomain">
      <xdr:nvSpPr>
        <xdr:cNvPr id="1" name="Rectangle 11"/>
        <xdr:cNvSpPr>
          <a:spLocks/>
        </xdr:cNvSpPr>
      </xdr:nvSpPr>
      <xdr:spPr>
        <a:xfrm>
          <a:off x="6067425" y="114300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6</xdr:col>
      <xdr:colOff>371475</xdr:colOff>
      <xdr:row>3</xdr:row>
      <xdr:rowOff>28575</xdr:rowOff>
    </xdr:from>
    <xdr:ext cx="1219200" cy="266700"/>
    <xdr:sp macro="[0]!printanchmovesheet">
      <xdr:nvSpPr>
        <xdr:cNvPr id="2" name="Rectangle 3"/>
        <xdr:cNvSpPr>
          <a:spLocks/>
        </xdr:cNvSpPr>
      </xdr:nvSpPr>
      <xdr:spPr>
        <a:xfrm>
          <a:off x="6067425" y="552450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447675</xdr:colOff>
      <xdr:row>0</xdr:row>
      <xdr:rowOff>114300</xdr:rowOff>
    </xdr:from>
    <xdr:ext cx="942975" cy="266700"/>
    <xdr:sp macro="[0]!returntomain">
      <xdr:nvSpPr>
        <xdr:cNvPr id="1" name="Rectangle 11"/>
        <xdr:cNvSpPr>
          <a:spLocks/>
        </xdr:cNvSpPr>
      </xdr:nvSpPr>
      <xdr:spPr>
        <a:xfrm>
          <a:off x="7953375" y="114300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8</xdr:col>
      <xdr:colOff>447675</xdr:colOff>
      <xdr:row>3</xdr:row>
      <xdr:rowOff>0</xdr:rowOff>
    </xdr:from>
    <xdr:ext cx="1219200" cy="266700"/>
    <xdr:sp macro="[0]!printselfstresssheet">
      <xdr:nvSpPr>
        <xdr:cNvPr id="2" name="Rectangle 3"/>
        <xdr:cNvSpPr>
          <a:spLocks/>
        </xdr:cNvSpPr>
      </xdr:nvSpPr>
      <xdr:spPr>
        <a:xfrm>
          <a:off x="7953375" y="523875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390525</xdr:colOff>
      <xdr:row>2</xdr:row>
      <xdr:rowOff>133350</xdr:rowOff>
    </xdr:from>
    <xdr:ext cx="1219200" cy="266700"/>
    <xdr:sp macro="[0]!printthermalsheet">
      <xdr:nvSpPr>
        <xdr:cNvPr id="1" name="Rectangle 3"/>
        <xdr:cNvSpPr>
          <a:spLocks/>
        </xdr:cNvSpPr>
      </xdr:nvSpPr>
      <xdr:spPr>
        <a:xfrm>
          <a:off x="6953250" y="457200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  <xdr:oneCellAnchor>
    <xdr:from>
      <xdr:col>7</xdr:col>
      <xdr:colOff>381000</xdr:colOff>
      <xdr:row>0</xdr:row>
      <xdr:rowOff>95250</xdr:rowOff>
    </xdr:from>
    <xdr:ext cx="942975" cy="266700"/>
    <xdr:sp macro="[0]!returntomain">
      <xdr:nvSpPr>
        <xdr:cNvPr id="2" name="Rectangle 4"/>
        <xdr:cNvSpPr>
          <a:spLocks/>
        </xdr:cNvSpPr>
      </xdr:nvSpPr>
      <xdr:spPr>
        <a:xfrm>
          <a:off x="6943725" y="95250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304800</xdr:colOff>
      <xdr:row>0</xdr:row>
      <xdr:rowOff>161925</xdr:rowOff>
    </xdr:from>
    <xdr:ext cx="942975" cy="266700"/>
    <xdr:sp macro="[0]!returntomain">
      <xdr:nvSpPr>
        <xdr:cNvPr id="1" name="Rectangle 11"/>
        <xdr:cNvSpPr>
          <a:spLocks/>
        </xdr:cNvSpPr>
      </xdr:nvSpPr>
      <xdr:spPr>
        <a:xfrm>
          <a:off x="6229350" y="161925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7</xdr:col>
      <xdr:colOff>314325</xdr:colOff>
      <xdr:row>3</xdr:row>
      <xdr:rowOff>28575</xdr:rowOff>
    </xdr:from>
    <xdr:ext cx="1219200" cy="266700"/>
    <xdr:sp macro="[0]!printsingletelongsheet">
      <xdr:nvSpPr>
        <xdr:cNvPr id="2" name="Rectangle 13"/>
        <xdr:cNvSpPr>
          <a:spLocks/>
        </xdr:cNvSpPr>
      </xdr:nvSpPr>
      <xdr:spPr>
        <a:xfrm>
          <a:off x="6238875" y="514350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314325</xdr:colOff>
      <xdr:row>1</xdr:row>
      <xdr:rowOff>19050</xdr:rowOff>
    </xdr:from>
    <xdr:ext cx="942975" cy="266700"/>
    <xdr:sp macro="[0]!returntomain">
      <xdr:nvSpPr>
        <xdr:cNvPr id="1" name="Rectangle 11"/>
        <xdr:cNvSpPr>
          <a:spLocks/>
        </xdr:cNvSpPr>
      </xdr:nvSpPr>
      <xdr:spPr>
        <a:xfrm>
          <a:off x="6486525" y="180975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7</xdr:col>
      <xdr:colOff>333375</xdr:colOff>
      <xdr:row>3</xdr:row>
      <xdr:rowOff>47625</xdr:rowOff>
    </xdr:from>
    <xdr:ext cx="1219200" cy="266700"/>
    <xdr:sp macro="[0]!printsingletforcessheet">
      <xdr:nvSpPr>
        <xdr:cNvPr id="2" name="Rectangle 13"/>
        <xdr:cNvSpPr>
          <a:spLocks/>
        </xdr:cNvSpPr>
      </xdr:nvSpPr>
      <xdr:spPr>
        <a:xfrm>
          <a:off x="6505575" y="533400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219075</xdr:colOff>
      <xdr:row>0</xdr:row>
      <xdr:rowOff>95250</xdr:rowOff>
    </xdr:from>
    <xdr:ext cx="942975" cy="266700"/>
    <xdr:sp macro="[0]!returntomain">
      <xdr:nvSpPr>
        <xdr:cNvPr id="1" name="Rectangle 7"/>
        <xdr:cNvSpPr>
          <a:spLocks/>
        </xdr:cNvSpPr>
      </xdr:nvSpPr>
      <xdr:spPr>
        <a:xfrm>
          <a:off x="8162925" y="95250"/>
          <a:ext cx="942975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 MENU</a:t>
          </a:r>
        </a:p>
      </xdr:txBody>
    </xdr:sp>
    <xdr:clientData fPrintsWithSheet="0"/>
  </xdr:oneCellAnchor>
  <xdr:oneCellAnchor>
    <xdr:from>
      <xdr:col>11</xdr:col>
      <xdr:colOff>228600</xdr:colOff>
      <xdr:row>2</xdr:row>
      <xdr:rowOff>123825</xdr:rowOff>
    </xdr:from>
    <xdr:ext cx="1219200" cy="266700"/>
    <xdr:sp macro="[0]!printboxsheet">
      <xdr:nvSpPr>
        <xdr:cNvPr id="2" name="Rectangle 8"/>
        <xdr:cNvSpPr>
          <a:spLocks/>
        </xdr:cNvSpPr>
      </xdr:nvSpPr>
      <xdr:spPr>
        <a:xfrm>
          <a:off x="8172450" y="447675"/>
          <a:ext cx="12192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REPORT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20" customWidth="1"/>
  </cols>
  <sheetData>
    <row r="1" spans="1:10" ht="23.25">
      <c r="A1" s="140" t="s">
        <v>999</v>
      </c>
      <c r="J1" s="120" t="s">
        <v>1310</v>
      </c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2.7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2.7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2.75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2.7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12.7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12.7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12.7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ht="12.75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2.75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2.75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2.75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12.75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2.75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2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2.75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12.75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2.75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12.75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12.75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12.7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12.75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12.75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12.75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12.75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2.75">
      <c r="A27" s="46"/>
      <c r="B27" s="46"/>
      <c r="C27" s="46"/>
      <c r="D27" s="46"/>
      <c r="E27" s="46"/>
      <c r="F27" s="46"/>
      <c r="G27" s="46"/>
      <c r="H27" s="46"/>
      <c r="I27" s="46"/>
      <c r="J27" s="46"/>
    </row>
  </sheetData>
  <sheetProtection sheet="1" objects="1" scenarios="1"/>
  <printOptions/>
  <pageMargins left="0.75" right="0.75" top="1" bottom="1" header="0.5" footer="0.5"/>
  <pageSetup horizontalDpi="600" verticalDpi="600" orientation="portrait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T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57421875" style="0" customWidth="1"/>
    <col min="8" max="8" width="11.8515625" style="0" customWidth="1"/>
    <col min="9" max="9" width="9.851562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1"/>
      <c r="Q1" s="21"/>
      <c r="R1" s="8"/>
      <c r="S1" s="8"/>
      <c r="T1" s="8"/>
    </row>
    <row r="2" spans="1:20" ht="12.75">
      <c r="A2" s="1023" t="s">
        <v>861</v>
      </c>
      <c r="B2" s="1024"/>
      <c r="C2" s="102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1"/>
      <c r="Q2" s="21"/>
      <c r="R2" s="8"/>
      <c r="S2" s="8"/>
      <c r="T2" s="8"/>
    </row>
    <row r="3" spans="1:20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1"/>
      <c r="Q3" s="21"/>
      <c r="R3" s="8"/>
      <c r="S3" s="8"/>
      <c r="T3" s="8"/>
    </row>
    <row r="4" spans="1:20" ht="15.75">
      <c r="A4" s="706" t="s">
        <v>774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22"/>
      <c r="N4" s="22"/>
      <c r="O4" s="22"/>
      <c r="P4" s="21"/>
      <c r="Q4" s="21"/>
      <c r="R4" s="8"/>
      <c r="S4" s="8"/>
      <c r="T4" s="8"/>
    </row>
    <row r="5" spans="1:20" ht="12.75">
      <c r="A5" s="344"/>
      <c r="B5" s="707"/>
      <c r="C5" s="708"/>
      <c r="D5" s="344"/>
      <c r="E5" s="255"/>
      <c r="F5" s="70"/>
      <c r="G5" s="344"/>
      <c r="H5" s="255"/>
      <c r="I5" s="70"/>
      <c r="J5" s="344"/>
      <c r="K5" s="109"/>
      <c r="L5" s="705"/>
      <c r="M5" s="22"/>
      <c r="N5" s="22"/>
      <c r="O5" s="22"/>
      <c r="P5" s="21"/>
      <c r="Q5" s="21"/>
      <c r="R5" s="8"/>
      <c r="S5" s="8"/>
      <c r="T5" s="8"/>
    </row>
    <row r="6" spans="1:20" ht="12.75">
      <c r="A6" s="66" t="s">
        <v>114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22"/>
      <c r="M6" s="22"/>
      <c r="N6" s="22"/>
      <c r="O6" s="22"/>
      <c r="P6" s="21"/>
      <c r="Q6" s="21"/>
      <c r="R6" s="8"/>
      <c r="S6" s="8"/>
      <c r="T6" s="8"/>
    </row>
    <row r="7" spans="1:20" ht="4.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705"/>
      <c r="Q7" s="705"/>
      <c r="R7" s="8"/>
      <c r="S7" s="8"/>
      <c r="T7" s="8"/>
    </row>
    <row r="8" spans="1:20" ht="24.75" customHeight="1">
      <c r="A8" s="494" t="s">
        <v>774</v>
      </c>
      <c r="B8" s="588"/>
      <c r="C8" s="588"/>
      <c r="D8" s="588"/>
      <c r="E8" s="588"/>
      <c r="F8" s="588"/>
      <c r="G8" s="588"/>
      <c r="H8" s="493"/>
      <c r="I8" s="493"/>
      <c r="J8" s="588"/>
      <c r="K8" s="588"/>
      <c r="L8" s="709"/>
      <c r="M8" s="709"/>
      <c r="N8" s="7" t="s">
        <v>1310</v>
      </c>
      <c r="O8" s="131"/>
      <c r="P8" s="39"/>
      <c r="Q8" s="39"/>
      <c r="R8" s="8"/>
      <c r="S8" s="8"/>
      <c r="T8" s="8"/>
    </row>
    <row r="9" spans="1:20" ht="13.5" customHeight="1">
      <c r="A9" s="1025" t="s">
        <v>84</v>
      </c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6"/>
      <c r="Q9" s="6"/>
      <c r="R9" s="6"/>
      <c r="S9" s="8"/>
      <c r="T9" s="8"/>
    </row>
    <row r="10" spans="1:20" ht="13.5" customHeight="1">
      <c r="A10" s="1027" t="s">
        <v>101</v>
      </c>
      <c r="B10" s="1026"/>
      <c r="C10" s="1026"/>
      <c r="D10" s="1026"/>
      <c r="E10" s="1026"/>
      <c r="F10" s="1026"/>
      <c r="G10" s="1026"/>
      <c r="H10" s="1026"/>
      <c r="I10" s="1026"/>
      <c r="J10" s="1026"/>
      <c r="K10" s="1026"/>
      <c r="L10" s="1026"/>
      <c r="M10" s="1026"/>
      <c r="N10" s="1026"/>
      <c r="O10" s="1026"/>
      <c r="P10" s="6"/>
      <c r="Q10" s="6"/>
      <c r="R10" s="6"/>
      <c r="S10" s="8"/>
      <c r="T10" s="8"/>
    </row>
    <row r="11" spans="1:20" ht="13.5" customHeight="1">
      <c r="A11" s="1027" t="s">
        <v>102</v>
      </c>
      <c r="B11" s="1026"/>
      <c r="C11" s="1026"/>
      <c r="D11" s="1026"/>
      <c r="E11" s="1026"/>
      <c r="F11" s="1026"/>
      <c r="G11" s="1026"/>
      <c r="H11" s="1026"/>
      <c r="I11" s="1026"/>
      <c r="J11" s="1026"/>
      <c r="K11" s="1026"/>
      <c r="L11" s="1026"/>
      <c r="M11" s="1026"/>
      <c r="N11" s="1026"/>
      <c r="O11" s="1026"/>
      <c r="P11" s="6"/>
      <c r="Q11" s="6"/>
      <c r="R11" s="6"/>
      <c r="S11" s="8"/>
      <c r="T11" s="8"/>
    </row>
    <row r="12" spans="1:20" ht="13.5" customHeight="1">
      <c r="A12" s="1030" t="s">
        <v>1264</v>
      </c>
      <c r="B12" s="1035"/>
      <c r="C12" s="1035"/>
      <c r="D12" s="1035"/>
      <c r="E12" s="1035"/>
      <c r="F12" s="1035"/>
      <c r="G12" s="1035"/>
      <c r="H12" s="1035"/>
      <c r="I12" s="1035"/>
      <c r="J12" s="1035"/>
      <c r="K12" s="1035"/>
      <c r="L12" s="1035"/>
      <c r="M12" s="1035"/>
      <c r="N12" s="1035"/>
      <c r="O12" s="1035"/>
      <c r="P12" s="6"/>
      <c r="Q12" s="6"/>
      <c r="R12" s="6"/>
      <c r="S12" s="8"/>
      <c r="T12" s="8"/>
    </row>
    <row r="13" spans="1:18" ht="13.5" customHeight="1">
      <c r="A13" s="493"/>
      <c r="B13" s="493"/>
      <c r="C13" s="493"/>
      <c r="D13" s="496" t="s">
        <v>1003</v>
      </c>
      <c r="E13" s="497">
        <f>IF(Input!$B$7="","",Input!$B$7)</f>
      </c>
      <c r="F13" s="498"/>
      <c r="G13" s="1020" t="s">
        <v>107</v>
      </c>
      <c r="H13" s="500">
        <v>1</v>
      </c>
      <c r="I13" s="728"/>
      <c r="J13" s="500">
        <v>5</v>
      </c>
      <c r="K13" s="728"/>
      <c r="L13" s="502" t="s">
        <v>560</v>
      </c>
      <c r="M13" s="607"/>
      <c r="N13" s="503"/>
      <c r="O13" s="322"/>
      <c r="P13" s="322"/>
      <c r="Q13" s="322"/>
      <c r="R13" s="8"/>
    </row>
    <row r="14" spans="1:18" ht="13.5" customHeight="1">
      <c r="A14" s="493"/>
      <c r="B14" s="493"/>
      <c r="C14" s="493"/>
      <c r="D14" s="496" t="s">
        <v>103</v>
      </c>
      <c r="E14" s="497">
        <f>IF(Input!$B$8="","",Input!$B$8)</f>
      </c>
      <c r="F14" s="498"/>
      <c r="G14" s="1021"/>
      <c r="H14" s="500">
        <v>2</v>
      </c>
      <c r="I14" s="728"/>
      <c r="J14" s="500">
        <v>6</v>
      </c>
      <c r="K14" s="728"/>
      <c r="L14" s="505" t="s">
        <v>50</v>
      </c>
      <c r="M14" s="506">
        <f ca="1">TODAY()</f>
        <v>40878</v>
      </c>
      <c r="N14" s="503"/>
      <c r="O14" s="322"/>
      <c r="P14" s="322"/>
      <c r="Q14" s="322"/>
      <c r="R14" s="8"/>
    </row>
    <row r="15" spans="1:18" ht="13.5" customHeight="1">
      <c r="A15" s="493"/>
      <c r="B15" s="493"/>
      <c r="C15" s="493"/>
      <c r="D15" s="496" t="s">
        <v>1041</v>
      </c>
      <c r="E15" s="497">
        <f>IF(Input!$B$10="","",Input!$B$10)</f>
      </c>
      <c r="F15" s="498"/>
      <c r="G15" s="1021"/>
      <c r="H15" s="500">
        <v>3</v>
      </c>
      <c r="I15" s="728"/>
      <c r="J15" s="500">
        <v>7</v>
      </c>
      <c r="K15" s="728"/>
      <c r="L15" s="496" t="s">
        <v>1034</v>
      </c>
      <c r="M15" s="507">
        <f>IF(Input!$B$30="","",Input!$B$30)</f>
      </c>
      <c r="N15" s="508"/>
      <c r="O15" s="322"/>
      <c r="P15" s="322"/>
      <c r="Q15" s="322"/>
      <c r="R15" s="8"/>
    </row>
    <row r="16" spans="1:18" ht="13.5" customHeight="1">
      <c r="A16" s="493"/>
      <c r="B16" s="493"/>
      <c r="C16" s="493"/>
      <c r="D16" s="496" t="s">
        <v>1004</v>
      </c>
      <c r="E16" s="497">
        <f>IF(Input!$E$5="","",Input!$E$5)</f>
      </c>
      <c r="F16" s="498"/>
      <c r="G16" s="1022"/>
      <c r="H16" s="500">
        <v>4</v>
      </c>
      <c r="I16" s="728"/>
      <c r="J16" s="500">
        <v>8</v>
      </c>
      <c r="K16" s="728"/>
      <c r="L16" s="496" t="s">
        <v>1035</v>
      </c>
      <c r="M16" s="507">
        <f>IF(Input!$B$31="","",Input!$B$31)</f>
      </c>
      <c r="N16" s="508"/>
      <c r="O16" s="322"/>
      <c r="P16" s="322"/>
      <c r="Q16" s="322"/>
      <c r="R16" s="8"/>
    </row>
    <row r="17" spans="1:15" ht="13.5" customHeight="1">
      <c r="A17" s="493"/>
      <c r="B17" s="493"/>
      <c r="C17" s="493"/>
      <c r="D17" s="510" t="s">
        <v>49</v>
      </c>
      <c r="E17" s="497">
        <f>IF(Input!$E$6="","",Input!$E$6)</f>
      </c>
      <c r="F17" s="498"/>
      <c r="G17" s="496" t="s">
        <v>1017</v>
      </c>
      <c r="H17" s="511">
        <f>IF(Input!$B$68="","",Input!$B$68)</f>
      </c>
      <c r="I17" s="512"/>
      <c r="J17" s="512"/>
      <c r="K17" s="512"/>
      <c r="L17" s="496" t="s">
        <v>1030</v>
      </c>
      <c r="M17" s="507">
        <f>IF(Input!$B$32="","",Input!$B$32)</f>
      </c>
      <c r="N17" s="508"/>
      <c r="O17" s="493"/>
    </row>
    <row r="18" spans="1:15" ht="13.5" customHeight="1">
      <c r="A18" s="493"/>
      <c r="B18" s="493"/>
      <c r="C18" s="493"/>
      <c r="D18" s="510" t="s">
        <v>106</v>
      </c>
      <c r="E18" s="497">
        <f>IF(Input!$E$7="","",Input!$E$7)</f>
      </c>
      <c r="F18" s="498"/>
      <c r="G18" s="496" t="s">
        <v>1018</v>
      </c>
      <c r="H18" s="511">
        <f>IF(Input!$B$69="","",Input!$B$69)</f>
      </c>
      <c r="I18" s="512"/>
      <c r="J18" s="512"/>
      <c r="K18" s="512"/>
      <c r="L18" s="496" t="s">
        <v>1036</v>
      </c>
      <c r="M18" s="507">
        <f>IF(Input!$B$33="","",Input!$B$33)</f>
      </c>
      <c r="N18" s="508"/>
      <c r="O18" s="493"/>
    </row>
    <row r="19" spans="1:15" ht="13.5" customHeight="1">
      <c r="A19" s="493"/>
      <c r="B19" s="493"/>
      <c r="C19" s="493"/>
      <c r="D19" s="510" t="s">
        <v>48</v>
      </c>
      <c r="E19" s="497">
        <f>IF(Input!$E$8="","",Input!$E$8)</f>
      </c>
      <c r="F19" s="498"/>
      <c r="G19" s="496" t="s">
        <v>1019</v>
      </c>
      <c r="H19" s="511">
        <f>IF(Input!$B$70="","",Input!$B$70)</f>
      </c>
      <c r="I19" s="512"/>
      <c r="J19" s="512"/>
      <c r="K19" s="512"/>
      <c r="L19" s="496" t="s">
        <v>1033</v>
      </c>
      <c r="M19" s="507">
        <f>IF(Input!$B$34="","",Input!$B$34)</f>
      </c>
      <c r="N19" s="508"/>
      <c r="O19" s="493"/>
    </row>
    <row r="20" spans="1:15" ht="13.5" customHeight="1">
      <c r="A20" s="493"/>
      <c r="B20" s="493"/>
      <c r="C20" s="493"/>
      <c r="D20" s="496" t="s">
        <v>1039</v>
      </c>
      <c r="E20" s="497">
        <f>IF(Input!$B$37="","",Input!$B$37)</f>
      </c>
      <c r="F20" s="498"/>
      <c r="G20" s="496" t="s">
        <v>1020</v>
      </c>
      <c r="H20" s="511">
        <f>IF(Input!$B$71="","",Input!$B$71)</f>
      </c>
      <c r="I20" s="512"/>
      <c r="J20" s="512"/>
      <c r="K20" s="512"/>
      <c r="L20" s="496" t="s">
        <v>1037</v>
      </c>
      <c r="M20" s="507">
        <f>IF(Input!$B$35="","",Input!$B$35)</f>
      </c>
      <c r="N20" s="508"/>
      <c r="O20" s="493"/>
    </row>
    <row r="21" spans="1:15" ht="13.5" customHeight="1">
      <c r="A21" s="493"/>
      <c r="B21" s="493"/>
      <c r="C21" s="493"/>
      <c r="D21" s="496" t="s">
        <v>98</v>
      </c>
      <c r="E21" s="573"/>
      <c r="F21" s="574"/>
      <c r="G21" s="496" t="s">
        <v>1021</v>
      </c>
      <c r="H21" s="511">
        <f>IF(Input!$B$72="","",Input!$B$72)</f>
      </c>
      <c r="I21" s="512"/>
      <c r="J21" s="512"/>
      <c r="K21" s="512"/>
      <c r="L21" s="496" t="s">
        <v>1038</v>
      </c>
      <c r="M21" s="507">
        <f>IF(Input!$B$36="","",Input!$B$36)</f>
      </c>
      <c r="N21" s="508"/>
      <c r="O21" s="493"/>
    </row>
    <row r="22" spans="1:15" ht="13.5" customHeight="1">
      <c r="A22" s="493"/>
      <c r="B22" s="493"/>
      <c r="C22" s="493"/>
      <c r="D22" s="496" t="s">
        <v>104</v>
      </c>
      <c r="E22" s="497">
        <f>IF(Input!$B$9="","",Input!$B$9)</f>
      </c>
      <c r="F22" s="498"/>
      <c r="G22" s="496" t="s">
        <v>1022</v>
      </c>
      <c r="H22" s="511">
        <f>IF(Input!$B$73="","",Input!$B$73)</f>
      </c>
      <c r="I22" s="512"/>
      <c r="J22" s="512"/>
      <c r="K22" s="512"/>
      <c r="L22" s="513"/>
      <c r="M22" s="514"/>
      <c r="N22" s="515"/>
      <c r="O22" s="493"/>
    </row>
    <row r="23" spans="1:15" ht="13.5" customHeight="1">
      <c r="A23" s="493"/>
      <c r="B23" s="493"/>
      <c r="C23" s="493"/>
      <c r="D23" s="496" t="s">
        <v>105</v>
      </c>
      <c r="E23" s="516">
        <f>'Setup Bm Input'!$B$34</f>
      </c>
      <c r="F23" s="498" t="str">
        <f>IF(Input!$B$6="","",IF(Input!$B$6="E","in.",IF(Input!$B$6="M","mm")))</f>
        <v>in.</v>
      </c>
      <c r="G23" s="496" t="s">
        <v>1024</v>
      </c>
      <c r="H23" s="511">
        <f>IF('Setup Bm Input'!$A$46="","",'Setup Bm Input'!$A$46)</f>
      </c>
      <c r="I23" s="512"/>
      <c r="J23" s="512"/>
      <c r="K23" s="512"/>
      <c r="L23" s="517"/>
      <c r="M23" s="518"/>
      <c r="N23" s="515"/>
      <c r="O23" s="493"/>
    </row>
    <row r="24" spans="1:20" ht="13.5" customHeight="1">
      <c r="A24" s="493"/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S24" s="8"/>
      <c r="T24" s="8"/>
    </row>
    <row r="25" spans="1:20" ht="19.5" customHeight="1">
      <c r="A25" s="81"/>
      <c r="B25" s="83"/>
      <c r="C25" s="78" t="s">
        <v>715</v>
      </c>
      <c r="D25" s="341">
        <f>IF(B5="","",B5)</f>
      </c>
      <c r="E25" s="710"/>
      <c r="F25" s="78" t="s">
        <v>716</v>
      </c>
      <c r="G25" s="343"/>
      <c r="H25" s="81"/>
      <c r="I25" s="78" t="s">
        <v>717</v>
      </c>
      <c r="J25" s="342">
        <f>IF(H5="","",H5)</f>
      </c>
      <c r="K25" s="81"/>
      <c r="L25" s="81"/>
      <c r="M25" s="81"/>
      <c r="N25" s="81"/>
      <c r="O25" s="81"/>
      <c r="P25" s="81"/>
      <c r="Q25" s="81"/>
      <c r="R25" s="8"/>
      <c r="S25" s="8"/>
      <c r="T25" s="8"/>
    </row>
    <row r="26" spans="1:20" ht="19.5" customHeight="1">
      <c r="A26" s="81"/>
      <c r="B26" s="83"/>
      <c r="C26" s="78"/>
      <c r="D26" s="82" t="s">
        <v>594</v>
      </c>
      <c r="E26" s="710"/>
      <c r="F26" s="493"/>
      <c r="G26" s="493"/>
      <c r="H26" s="81"/>
      <c r="I26" s="81"/>
      <c r="J26" s="81"/>
      <c r="K26" s="81"/>
      <c r="L26" s="81"/>
      <c r="M26" s="81"/>
      <c r="N26" s="81"/>
      <c r="O26" s="322"/>
      <c r="P26" s="322"/>
      <c r="Q26" s="322"/>
      <c r="R26" s="8"/>
      <c r="S26" s="8"/>
      <c r="T26" s="8"/>
    </row>
    <row r="27" spans="1:20" ht="19.5" customHeight="1">
      <c r="A27" s="81"/>
      <c r="B27" s="83"/>
      <c r="C27" s="78" t="s">
        <v>1005</v>
      </c>
      <c r="D27" s="85">
        <f>+IF('Setup Bm Input'!$B$59="","",'Setup Bm Input'!$B$59)</f>
      </c>
      <c r="E27" s="86"/>
      <c r="F27" s="340"/>
      <c r="G27" s="711" t="s">
        <v>779</v>
      </c>
      <c r="H27" s="712" t="str">
        <f>+IF('Setup Bm Input'!$B$48="","No Input",'Setup Bm Input'!$B$48)</f>
        <v>No Input</v>
      </c>
      <c r="I27" s="78"/>
      <c r="J27" s="324"/>
      <c r="K27" s="322"/>
      <c r="L27" s="81"/>
      <c r="M27" s="81"/>
      <c r="N27" s="81"/>
      <c r="O27" s="323"/>
      <c r="P27" s="322"/>
      <c r="Q27" s="322"/>
      <c r="R27" s="8"/>
      <c r="S27" s="8"/>
      <c r="T27" s="8"/>
    </row>
    <row r="28" spans="1:20" ht="19.5" customHeight="1">
      <c r="A28" s="81"/>
      <c r="B28" s="83"/>
      <c r="C28" s="81"/>
      <c r="D28" s="81"/>
      <c r="E28" s="81"/>
      <c r="F28" s="81"/>
      <c r="G28" s="81"/>
      <c r="H28" s="81"/>
      <c r="I28" s="81"/>
      <c r="J28" s="337" t="s">
        <v>56</v>
      </c>
      <c r="K28" s="339" t="s">
        <v>56</v>
      </c>
      <c r="L28" s="81"/>
      <c r="M28" s="81"/>
      <c r="N28" s="81"/>
      <c r="O28" s="323"/>
      <c r="P28" s="322"/>
      <c r="Q28" s="322"/>
      <c r="R28" s="8"/>
      <c r="S28" s="8"/>
      <c r="T28" s="8"/>
    </row>
    <row r="29" spans="1:20" ht="19.5" customHeight="1">
      <c r="A29" s="81"/>
      <c r="B29" s="493"/>
      <c r="C29" s="493"/>
      <c r="D29" s="493"/>
      <c r="E29" s="493"/>
      <c r="F29" s="493"/>
      <c r="G29" s="493"/>
      <c r="H29" s="384"/>
      <c r="I29" s="384"/>
      <c r="J29" s="338" t="str">
        <f>IF('Setup Bm Input'!$F$51="","No Input",IF('Setup Bm Input'!$F$51="Net","Net El.","Gross El."))</f>
        <v>No Input</v>
      </c>
      <c r="K29" s="336" t="str">
        <f>IF('Setup Bm Input'!$F$51="","No Input",IF('Setup Bm Input'!$F$51="Net","Net El.","Gross El."))</f>
        <v>No Input</v>
      </c>
      <c r="L29" s="563"/>
      <c r="M29" s="530"/>
      <c r="N29" s="530"/>
      <c r="O29" s="323"/>
      <c r="P29" s="322"/>
      <c r="Q29" s="322"/>
      <c r="R29" s="8"/>
      <c r="S29" s="8"/>
      <c r="T29" s="8"/>
    </row>
    <row r="30" spans="1:20" ht="19.5" customHeight="1">
      <c r="A30" s="78"/>
      <c r="B30" s="493"/>
      <c r="C30" s="493"/>
      <c r="D30" s="493"/>
      <c r="E30" s="493"/>
      <c r="F30" s="493"/>
      <c r="G30" s="493"/>
      <c r="H30" s="699" t="s">
        <v>1197</v>
      </c>
      <c r="I30" s="599" t="s">
        <v>56</v>
      </c>
      <c r="J30" s="713" t="s">
        <v>748</v>
      </c>
      <c r="K30" s="714" t="s">
        <v>747</v>
      </c>
      <c r="L30" s="700"/>
      <c r="M30" s="563"/>
      <c r="N30" s="255"/>
      <c r="O30" s="323"/>
      <c r="P30" s="322"/>
      <c r="Q30" s="322"/>
      <c r="R30" s="8"/>
      <c r="S30" s="8"/>
      <c r="T30" s="8"/>
    </row>
    <row r="31" spans="1:20" ht="19.5" customHeight="1">
      <c r="A31" s="78"/>
      <c r="B31" s="493"/>
      <c r="C31" s="493"/>
      <c r="D31" s="560" t="s">
        <v>113</v>
      </c>
      <c r="E31" s="560" t="s">
        <v>115</v>
      </c>
      <c r="F31" s="667" t="s">
        <v>754</v>
      </c>
      <c r="G31" s="667" t="s">
        <v>753</v>
      </c>
      <c r="H31" s="637"/>
      <c r="I31" s="336" t="str">
        <f>IF('Setup Bm Input'!$F$51="","No Input",IF('Setup Bm Input'!$F$51="Net","Net El.","Gross El."))</f>
        <v>No Input</v>
      </c>
      <c r="J31" s="715" t="s">
        <v>556</v>
      </c>
      <c r="K31" s="638" t="s">
        <v>557</v>
      </c>
      <c r="L31" s="549"/>
      <c r="M31" s="549"/>
      <c r="N31" s="549"/>
      <c r="O31" s="323"/>
      <c r="P31" s="322"/>
      <c r="Q31" s="322"/>
      <c r="R31" s="8"/>
      <c r="S31" s="8"/>
      <c r="T31" s="8"/>
    </row>
    <row r="32" spans="1:20" ht="19.5" customHeight="1">
      <c r="A32" s="78"/>
      <c r="B32" s="493"/>
      <c r="C32" s="493"/>
      <c r="D32" s="560" t="s">
        <v>90</v>
      </c>
      <c r="E32" s="511">
        <f>+IF('Setup Bm Input'!$B63="","",'Setup Bm Input'!$B63)</f>
      </c>
      <c r="F32" s="511">
        <f>+IF('Setup Bm Input'!$C63="","",'Setup Bm Input'!$C63)</f>
      </c>
      <c r="G32" s="511">
        <f>+IF('Setup Bm Input'!$E63="","",'Setup Bm Input'!$E63/1000000)</f>
      </c>
      <c r="H32" s="716">
        <f>+IF('Singlet F'!$F71="","",'Singlet F'!$F71)</f>
      </c>
      <c r="I32" s="368" t="str">
        <f>IF('Setup Bm Input'!$F$51="","Error",IF('Singlet E'!$G83="","",IF('Singlet E'!$B83="","",IF('Setup Bm Input'!$F$51="Net",'Singlet E'!$G83,'Singlet E'!$B83))))</f>
        <v>Error</v>
      </c>
      <c r="J32" s="368" t="str">
        <f>IF('Setup Bm Input'!$F$51="","Error",IF('Singlet E'!$H83="","",IF('Singlet E'!$C83="","",IF('Setup Bm Input'!$F$51="Net",'Singlet E'!$H83,'Singlet E'!$C83))))</f>
        <v>Error</v>
      </c>
      <c r="K32" s="368" t="str">
        <f>IF('Setup Bm Input'!$F$51="","Error",IF('Singlet E'!$D83="","",IF('Singlet E'!$I83="","",IF('Setup Bm Input'!$F$51="Net",'Singlet E'!$I83,'Singlet E'!$D83))))</f>
        <v>Error</v>
      </c>
      <c r="L32" s="654"/>
      <c r="M32" s="654"/>
      <c r="N32" s="654"/>
      <c r="O32" s="323"/>
      <c r="P32" s="322"/>
      <c r="Q32" s="322"/>
      <c r="R32" s="8"/>
      <c r="S32" s="8"/>
      <c r="T32" s="8"/>
    </row>
    <row r="33" spans="1:20" ht="19.5" customHeight="1">
      <c r="A33" s="78"/>
      <c r="B33" s="493"/>
      <c r="C33" s="493"/>
      <c r="D33" s="560" t="s">
        <v>91</v>
      </c>
      <c r="E33" s="511">
        <f>+IF('Setup Bm Input'!$B64="","",'Setup Bm Input'!$B64)</f>
      </c>
      <c r="F33" s="511">
        <f>+IF('Setup Bm Input'!$C64="","",'Setup Bm Input'!$C64)</f>
      </c>
      <c r="G33" s="511">
        <f>+IF('Setup Bm Input'!$E64="","",'Setup Bm Input'!$E64/1000000)</f>
      </c>
      <c r="H33" s="716">
        <f>+IF('Singlet F'!$F72="","",'Singlet F'!$F72)</f>
      </c>
      <c r="I33" s="368" t="str">
        <f>IF('Setup Bm Input'!$F$51="","Error",IF('Singlet E'!$G84="","",IF('Singlet E'!$B84="","",IF('Setup Bm Input'!$F$51="Net",'Singlet E'!$G84,'Singlet E'!$B84))))</f>
        <v>Error</v>
      </c>
      <c r="J33" s="368" t="str">
        <f>IF('Setup Bm Input'!$F$51="","Error",IF('Singlet E'!$H84="","",IF('Singlet E'!$C84="","",IF('Setup Bm Input'!$F$51="Net",'Singlet E'!$H84,'Singlet E'!$C84))))</f>
        <v>Error</v>
      </c>
      <c r="K33" s="368" t="str">
        <f>IF('Setup Bm Input'!$F$51="","Error",IF('Singlet E'!$D84="","",IF('Singlet E'!$I84="","",IF('Setup Bm Input'!$F$51="Net",'Singlet E'!$I84,'Singlet E'!$D84))))</f>
        <v>Error</v>
      </c>
      <c r="L33" s="654"/>
      <c r="M33" s="654"/>
      <c r="N33" s="654"/>
      <c r="O33" s="323"/>
      <c r="P33" s="322"/>
      <c r="Q33" s="322"/>
      <c r="R33" s="8"/>
      <c r="S33" s="8"/>
      <c r="T33" s="8"/>
    </row>
    <row r="34" spans="1:20" ht="19.5" customHeight="1">
      <c r="A34" s="81"/>
      <c r="B34" s="493"/>
      <c r="C34" s="493"/>
      <c r="D34" s="560" t="s">
        <v>92</v>
      </c>
      <c r="E34" s="511">
        <f>+IF('Setup Bm Input'!$B65="","",'Setup Bm Input'!$B65)</f>
      </c>
      <c r="F34" s="511">
        <f>+IF('Setup Bm Input'!$C65="","",'Setup Bm Input'!$C65)</f>
      </c>
      <c r="G34" s="511">
        <f>+IF('Setup Bm Input'!$E65="","",'Setup Bm Input'!$E65/1000000)</f>
      </c>
      <c r="H34" s="716">
        <f>+IF('Singlet F'!$F73="","",'Singlet F'!$F73)</f>
      </c>
      <c r="I34" s="368" t="str">
        <f>IF('Setup Bm Input'!$F$51="","Error",IF('Singlet E'!$G85="","",IF('Singlet E'!$B85="","",IF('Setup Bm Input'!$F$51="Net",'Singlet E'!$G85,'Singlet E'!$B85))))</f>
        <v>Error</v>
      </c>
      <c r="J34" s="368" t="str">
        <f>IF('Setup Bm Input'!$F$51="","Error",IF('Singlet E'!$H85="","",IF('Singlet E'!$C85="","",IF('Setup Bm Input'!$F$51="Net",'Singlet E'!$H85,'Singlet E'!$C85))))</f>
        <v>Error</v>
      </c>
      <c r="K34" s="368" t="str">
        <f>IF('Setup Bm Input'!$F$51="","Error",IF('Singlet E'!$D85="","",IF('Singlet E'!$I85="","",IF('Setup Bm Input'!$F$51="Net",'Singlet E'!$I85,'Singlet E'!$D85))))</f>
        <v>Error</v>
      </c>
      <c r="L34" s="654"/>
      <c r="M34" s="654"/>
      <c r="N34" s="654"/>
      <c r="O34" s="83"/>
      <c r="P34" s="83"/>
      <c r="Q34" s="83"/>
      <c r="R34" s="8"/>
      <c r="S34" s="8"/>
      <c r="T34" s="8"/>
    </row>
    <row r="35" spans="1:20" ht="19.5" customHeight="1">
      <c r="A35" s="493"/>
      <c r="B35" s="493"/>
      <c r="C35" s="493"/>
      <c r="D35" s="560" t="s">
        <v>93</v>
      </c>
      <c r="E35" s="511">
        <f>+IF('Setup Bm Input'!$B66="","",'Setup Bm Input'!$B66)</f>
      </c>
      <c r="F35" s="511">
        <f>+IF('Setup Bm Input'!$C66="","",'Setup Bm Input'!$C66)</f>
      </c>
      <c r="G35" s="511">
        <f>+IF('Setup Bm Input'!$E66="","",'Setup Bm Input'!$E66/1000000)</f>
      </c>
      <c r="H35" s="716">
        <f>+IF('Singlet F'!$F74="","",'Singlet F'!$F74)</f>
      </c>
      <c r="I35" s="368" t="str">
        <f>IF('Setup Bm Input'!$F$51="","Error",IF('Singlet E'!$G86="","",IF('Singlet E'!$B86="","",IF('Setup Bm Input'!$F$51="Net",'Singlet E'!$G86,'Singlet E'!$B86))))</f>
        <v>Error</v>
      </c>
      <c r="J35" s="368" t="str">
        <f>IF('Setup Bm Input'!$F$51="","Error",IF('Singlet E'!$H86="","",IF('Singlet E'!$C86="","",IF('Setup Bm Input'!$F$51="Net",'Singlet E'!$H86,'Singlet E'!$C86))))</f>
        <v>Error</v>
      </c>
      <c r="K35" s="368" t="str">
        <f>IF('Setup Bm Input'!$F$51="","Error",IF('Singlet E'!$D86="","",IF('Singlet E'!$I86="","",IF('Setup Bm Input'!$F$51="Net",'Singlet E'!$I86,'Singlet E'!$D86))))</f>
        <v>Error</v>
      </c>
      <c r="L35" s="654"/>
      <c r="M35" s="654"/>
      <c r="N35" s="654"/>
      <c r="O35" s="493"/>
      <c r="S35" s="8"/>
      <c r="T35" s="8"/>
    </row>
    <row r="36" spans="1:20" ht="19.5" customHeight="1">
      <c r="A36" s="493"/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S36" s="8"/>
      <c r="T36" s="8"/>
    </row>
    <row r="37" spans="1:20" ht="19.5" customHeight="1">
      <c r="A37" s="493"/>
      <c r="B37" s="493"/>
      <c r="C37" s="493"/>
      <c r="D37" s="717" t="s">
        <v>755</v>
      </c>
      <c r="E37" s="493"/>
      <c r="F37" s="493"/>
      <c r="G37" s="493"/>
      <c r="H37" s="493"/>
      <c r="I37" s="493"/>
      <c r="J37" s="493"/>
      <c r="K37" s="718" t="s">
        <v>755</v>
      </c>
      <c r="L37" s="493"/>
      <c r="M37" s="493"/>
      <c r="N37" s="493"/>
      <c r="O37" s="493"/>
      <c r="S37" s="8"/>
      <c r="T37" s="8"/>
    </row>
    <row r="38" spans="1:20" ht="19.5" customHeight="1" thickBot="1">
      <c r="A38" s="493"/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S38" s="8"/>
      <c r="T38" s="8"/>
    </row>
    <row r="39" spans="1:20" ht="19.5" customHeight="1" thickBot="1">
      <c r="A39" s="81"/>
      <c r="B39" s="332" t="s">
        <v>115</v>
      </c>
      <c r="C39" s="79" t="s">
        <v>595</v>
      </c>
      <c r="D39" s="329"/>
      <c r="E39" s="363" t="s">
        <v>115</v>
      </c>
      <c r="F39" s="79" t="s">
        <v>596</v>
      </c>
      <c r="G39" s="81"/>
      <c r="H39" s="332" t="s">
        <v>115</v>
      </c>
      <c r="I39" s="325" t="s">
        <v>597</v>
      </c>
      <c r="J39" s="331"/>
      <c r="K39" s="332" t="s">
        <v>115</v>
      </c>
      <c r="L39" s="330" t="s">
        <v>598</v>
      </c>
      <c r="M39" s="493"/>
      <c r="N39" s="332" t="s">
        <v>115</v>
      </c>
      <c r="O39" s="79" t="s">
        <v>599</v>
      </c>
      <c r="S39" s="8"/>
      <c r="T39" s="8"/>
    </row>
    <row r="40" spans="1:20" ht="19.5" customHeight="1" thickBot="1">
      <c r="A40" s="81"/>
      <c r="B40" s="333"/>
      <c r="C40" s="79" t="str">
        <f>IF('Setup Bm Input'!$F$51="Net","Net El.","Gross El.")</f>
        <v>Gross El.</v>
      </c>
      <c r="D40" s="329"/>
      <c r="E40" s="364"/>
      <c r="F40" s="79" t="str">
        <f>IF('Setup Bm Input'!$F$51="Net","Net El.","Gross El.")</f>
        <v>Gross El.</v>
      </c>
      <c r="G40" s="81"/>
      <c r="H40" s="333"/>
      <c r="I40" s="79" t="str">
        <f>IF('Setup Bm Input'!$F$51="Net","Net El.","Gross El.")</f>
        <v>Gross El.</v>
      </c>
      <c r="J40" s="331"/>
      <c r="K40" s="333"/>
      <c r="L40" s="79" t="str">
        <f>IF('Setup Bm Input'!$F$51="Net","Net El.","Gross El.")</f>
        <v>Gross El.</v>
      </c>
      <c r="M40" s="493"/>
      <c r="N40" s="333"/>
      <c r="O40" s="79" t="str">
        <f>IF('Setup Bm Input'!$F$51="Net","Net El.","Gross El.")</f>
        <v>Gross El.</v>
      </c>
      <c r="S40" s="8"/>
      <c r="T40" s="8"/>
    </row>
    <row r="41" spans="1:20" ht="19.5" customHeight="1" thickBot="1">
      <c r="A41" s="78">
        <f>IF(B41="","",1)</f>
      </c>
      <c r="B41" s="729"/>
      <c r="C41" s="75"/>
      <c r="D41" s="323">
        <f>IF(E41="","",1)</f>
      </c>
      <c r="E41" s="729"/>
      <c r="F41" s="75"/>
      <c r="G41" s="82">
        <f>IF(H41="","",1)</f>
      </c>
      <c r="H41" s="729"/>
      <c r="I41" s="75"/>
      <c r="J41" s="82">
        <f>IF(K41="","",1)</f>
      </c>
      <c r="K41" s="729"/>
      <c r="L41" s="144"/>
      <c r="M41" s="82">
        <f>IF(N41="","",1)</f>
      </c>
      <c r="N41" s="729"/>
      <c r="O41" s="144"/>
      <c r="S41" s="8"/>
      <c r="T41" s="8"/>
    </row>
    <row r="42" spans="1:20" ht="19.5" customHeight="1" thickBot="1">
      <c r="A42" s="78">
        <f>IF(B42="","",A41+1)</f>
      </c>
      <c r="B42" s="729"/>
      <c r="C42" s="75"/>
      <c r="D42" s="323">
        <f aca="true" t="shared" si="0" ref="D42:D58">IF(E42="","",D41+1)</f>
      </c>
      <c r="E42" s="729"/>
      <c r="F42" s="75"/>
      <c r="G42" s="82">
        <f>IF(H42="","",G41+1)</f>
      </c>
      <c r="H42" s="729"/>
      <c r="I42" s="75"/>
      <c r="J42" s="82">
        <f>IF(K42="","",J41+1)</f>
      </c>
      <c r="K42" s="729"/>
      <c r="L42" s="144"/>
      <c r="M42" s="82">
        <f>IF(N42="","",M41+1)</f>
      </c>
      <c r="N42" s="729"/>
      <c r="O42" s="144"/>
      <c r="S42" s="8"/>
      <c r="T42" s="8"/>
    </row>
    <row r="43" spans="1:20" ht="19.5" customHeight="1" thickBot="1">
      <c r="A43" s="78">
        <f aca="true" t="shared" si="1" ref="A43:A61">IF(B43="","",A42+1)</f>
      </c>
      <c r="B43" s="729"/>
      <c r="C43" s="75"/>
      <c r="D43" s="323">
        <f t="shared" si="0"/>
      </c>
      <c r="E43" s="729"/>
      <c r="F43" s="75"/>
      <c r="G43" s="81"/>
      <c r="H43" s="81"/>
      <c r="I43" s="81"/>
      <c r="J43" s="81"/>
      <c r="K43" s="81"/>
      <c r="L43" s="81"/>
      <c r="M43" s="81"/>
      <c r="N43" s="81"/>
      <c r="O43" s="81"/>
      <c r="Q43" s="81"/>
      <c r="S43" s="8"/>
      <c r="T43" s="8"/>
    </row>
    <row r="44" spans="1:20" ht="19.5" customHeight="1" thickBot="1">
      <c r="A44" s="78">
        <f t="shared" si="1"/>
      </c>
      <c r="B44" s="729"/>
      <c r="C44" s="75"/>
      <c r="D44" s="323">
        <f t="shared" si="0"/>
      </c>
      <c r="E44" s="729"/>
      <c r="F44" s="75"/>
      <c r="G44" s="81"/>
      <c r="H44" s="332" t="s">
        <v>115</v>
      </c>
      <c r="I44" s="79" t="s">
        <v>749</v>
      </c>
      <c r="J44" s="329"/>
      <c r="K44" s="332" t="s">
        <v>115</v>
      </c>
      <c r="L44" s="330" t="s">
        <v>750</v>
      </c>
      <c r="M44" s="493"/>
      <c r="N44" s="332" t="s">
        <v>115</v>
      </c>
      <c r="O44" s="79" t="s">
        <v>751</v>
      </c>
      <c r="S44" s="8"/>
      <c r="T44" s="8"/>
    </row>
    <row r="45" spans="1:20" ht="19.5" customHeight="1" thickBot="1">
      <c r="A45" s="78">
        <f t="shared" si="1"/>
      </c>
      <c r="B45" s="729"/>
      <c r="C45" s="75"/>
      <c r="D45" s="323">
        <f t="shared" si="0"/>
      </c>
      <c r="E45" s="729"/>
      <c r="F45" s="75"/>
      <c r="G45" s="81"/>
      <c r="H45" s="333"/>
      <c r="I45" s="79" t="str">
        <f>IF('Setup Bm Input'!$F$51="Net","Net El.","Gross El.")</f>
        <v>Gross El.</v>
      </c>
      <c r="J45" s="329"/>
      <c r="K45" s="333"/>
      <c r="L45" s="79" t="str">
        <f>IF('Setup Bm Input'!$F$51="Net","Net El.","Gross El.")</f>
        <v>Gross El.</v>
      </c>
      <c r="M45" s="493"/>
      <c r="N45" s="333"/>
      <c r="O45" s="79" t="str">
        <f>IF('Setup Bm Input'!$F$51="Net","Net El.","Gross El.")</f>
        <v>Gross El.</v>
      </c>
      <c r="S45" s="8"/>
      <c r="T45" s="8"/>
    </row>
    <row r="46" spans="1:20" ht="19.5" customHeight="1" thickBot="1">
      <c r="A46" s="78">
        <f t="shared" si="1"/>
      </c>
      <c r="B46" s="729"/>
      <c r="C46" s="75"/>
      <c r="D46" s="323">
        <f t="shared" si="0"/>
      </c>
      <c r="E46" s="729"/>
      <c r="F46" s="75"/>
      <c r="G46" s="82">
        <f>IF(H46="","",1)</f>
      </c>
      <c r="H46" s="729"/>
      <c r="I46" s="75"/>
      <c r="J46" s="82">
        <f>IF(K46="","",1)</f>
      </c>
      <c r="K46" s="729"/>
      <c r="L46" s="144"/>
      <c r="M46" s="82">
        <f>IF(N46="","",1)</f>
      </c>
      <c r="N46" s="729"/>
      <c r="O46" s="144"/>
      <c r="S46" s="8"/>
      <c r="T46" s="8"/>
    </row>
    <row r="47" spans="1:20" ht="19.5" customHeight="1" thickBot="1">
      <c r="A47" s="78">
        <f t="shared" si="1"/>
      </c>
      <c r="B47" s="729"/>
      <c r="C47" s="75"/>
      <c r="D47" s="323">
        <f t="shared" si="0"/>
      </c>
      <c r="E47" s="729"/>
      <c r="F47" s="75"/>
      <c r="G47" s="82">
        <f>IF(H47="","",G46+1)</f>
      </c>
      <c r="H47" s="729"/>
      <c r="I47" s="75"/>
      <c r="J47" s="82">
        <f>IF(K47="","",J46+1)</f>
      </c>
      <c r="K47" s="729"/>
      <c r="L47" s="144"/>
      <c r="M47" s="82">
        <f>IF(N47="","",M46+1)</f>
      </c>
      <c r="N47" s="729"/>
      <c r="O47" s="144"/>
      <c r="S47" s="8"/>
      <c r="T47" s="8"/>
    </row>
    <row r="48" spans="1:20" ht="19.5" customHeight="1" thickBot="1">
      <c r="A48" s="78">
        <f t="shared" si="1"/>
      </c>
      <c r="B48" s="729"/>
      <c r="C48" s="75"/>
      <c r="D48" s="323">
        <f t="shared" si="0"/>
      </c>
      <c r="E48" s="729"/>
      <c r="F48" s="75"/>
      <c r="G48" s="81"/>
      <c r="H48" s="493"/>
      <c r="I48" s="493"/>
      <c r="J48" s="493"/>
      <c r="K48" s="493"/>
      <c r="L48" s="493"/>
      <c r="M48" s="493"/>
      <c r="N48" s="493"/>
      <c r="O48" s="493"/>
      <c r="S48" s="8"/>
      <c r="T48" s="8"/>
    </row>
    <row r="49" spans="1:20" ht="19.5" customHeight="1" thickBot="1">
      <c r="A49" s="78">
        <f t="shared" si="1"/>
      </c>
      <c r="B49" s="729"/>
      <c r="C49" s="75"/>
      <c r="D49" s="323">
        <f t="shared" si="0"/>
      </c>
      <c r="E49" s="729"/>
      <c r="F49" s="75"/>
      <c r="G49" s="81"/>
      <c r="H49" s="332" t="s">
        <v>115</v>
      </c>
      <c r="I49" s="79" t="s">
        <v>752</v>
      </c>
      <c r="J49" s="329"/>
      <c r="K49" s="329"/>
      <c r="L49" s="329"/>
      <c r="M49" s="545"/>
      <c r="N49" s="329"/>
      <c r="O49" s="329"/>
      <c r="Q49" s="81"/>
      <c r="S49" s="8"/>
      <c r="T49" s="8"/>
    </row>
    <row r="50" spans="1:20" ht="19.5" customHeight="1" thickBot="1">
      <c r="A50" s="78">
        <f t="shared" si="1"/>
      </c>
      <c r="B50" s="729"/>
      <c r="C50" s="75"/>
      <c r="D50" s="323">
        <f t="shared" si="0"/>
      </c>
      <c r="E50" s="729"/>
      <c r="F50" s="75"/>
      <c r="G50" s="81"/>
      <c r="H50" s="333"/>
      <c r="I50" s="79" t="str">
        <f>IF('Setup Bm Input'!$F$51="Net","Net El.","Gross El.")</f>
        <v>Gross El.</v>
      </c>
      <c r="J50" s="329"/>
      <c r="K50" s="329"/>
      <c r="L50" s="329"/>
      <c r="M50" s="545"/>
      <c r="N50" s="329"/>
      <c r="O50" s="329"/>
      <c r="Q50" s="81"/>
      <c r="S50" s="8"/>
      <c r="T50" s="8"/>
    </row>
    <row r="51" spans="1:20" ht="19.5" customHeight="1" thickBot="1">
      <c r="A51" s="78">
        <f t="shared" si="1"/>
      </c>
      <c r="B51" s="729"/>
      <c r="C51" s="75"/>
      <c r="D51" s="323">
        <f t="shared" si="0"/>
      </c>
      <c r="E51" s="729"/>
      <c r="F51" s="75"/>
      <c r="G51" s="82">
        <f>IF(H51="","",1)</f>
      </c>
      <c r="H51" s="729"/>
      <c r="I51" s="75"/>
      <c r="J51" s="82"/>
      <c r="K51" s="327"/>
      <c r="L51" s="720"/>
      <c r="M51" s="131"/>
      <c r="N51" s="327"/>
      <c r="O51" s="720"/>
      <c r="S51" s="8"/>
      <c r="T51" s="8"/>
    </row>
    <row r="52" spans="1:20" ht="19.5" customHeight="1" thickBot="1">
      <c r="A52" s="78">
        <f t="shared" si="1"/>
      </c>
      <c r="B52" s="729"/>
      <c r="C52" s="75"/>
      <c r="D52" s="323">
        <f t="shared" si="0"/>
      </c>
      <c r="E52" s="729"/>
      <c r="F52" s="75"/>
      <c r="G52" s="82">
        <f>IF(H52="","",G51+1)</f>
      </c>
      <c r="H52" s="729"/>
      <c r="I52" s="75"/>
      <c r="J52" s="82"/>
      <c r="K52" s="327"/>
      <c r="L52" s="720"/>
      <c r="M52" s="131"/>
      <c r="N52" s="327"/>
      <c r="O52" s="720"/>
      <c r="S52" s="8"/>
      <c r="T52" s="8"/>
    </row>
    <row r="53" spans="1:20" ht="19.5" customHeight="1" thickBot="1">
      <c r="A53" s="78">
        <f t="shared" si="1"/>
      </c>
      <c r="B53" s="729"/>
      <c r="C53" s="75"/>
      <c r="D53" s="323">
        <f t="shared" si="0"/>
      </c>
      <c r="E53" s="729"/>
      <c r="F53" s="75"/>
      <c r="G53" s="493"/>
      <c r="H53" s="493"/>
      <c r="I53" s="493"/>
      <c r="J53" s="493"/>
      <c r="K53" s="493"/>
      <c r="L53" s="493"/>
      <c r="M53" s="493"/>
      <c r="N53" s="493"/>
      <c r="O53" s="493"/>
      <c r="S53" s="8"/>
      <c r="T53" s="8"/>
    </row>
    <row r="54" spans="1:20" ht="19.5" customHeight="1" thickBot="1">
      <c r="A54" s="78">
        <f t="shared" si="1"/>
      </c>
      <c r="B54" s="729"/>
      <c r="C54" s="75"/>
      <c r="D54" s="323">
        <f t="shared" si="0"/>
      </c>
      <c r="E54" s="729"/>
      <c r="F54" s="75"/>
      <c r="G54" s="493"/>
      <c r="H54" s="493"/>
      <c r="I54" s="493"/>
      <c r="J54" s="493"/>
      <c r="K54" s="493"/>
      <c r="L54" s="717" t="s">
        <v>757</v>
      </c>
      <c r="M54" s="493"/>
      <c r="N54" s="493"/>
      <c r="O54" s="493"/>
      <c r="S54" s="8"/>
      <c r="T54" s="8"/>
    </row>
    <row r="55" spans="1:15" ht="19.5" customHeight="1" thickBot="1">
      <c r="A55" s="78">
        <f t="shared" si="1"/>
      </c>
      <c r="B55" s="729"/>
      <c r="C55" s="75"/>
      <c r="D55" s="323">
        <f t="shared" si="0"/>
      </c>
      <c r="E55" s="729"/>
      <c r="F55" s="75"/>
      <c r="G55" s="493"/>
      <c r="H55" s="493"/>
      <c r="I55" s="493"/>
      <c r="J55" s="493"/>
      <c r="K55" s="493"/>
      <c r="L55" s="493"/>
      <c r="M55" s="493"/>
      <c r="N55" s="493"/>
      <c r="O55" s="493"/>
    </row>
    <row r="56" spans="1:15" ht="19.5" customHeight="1" thickBot="1">
      <c r="A56" s="78">
        <f t="shared" si="1"/>
      </c>
      <c r="B56" s="729"/>
      <c r="C56" s="75"/>
      <c r="D56" s="323">
        <f t="shared" si="0"/>
      </c>
      <c r="E56" s="729"/>
      <c r="F56" s="75"/>
      <c r="G56" s="493"/>
      <c r="H56" s="493"/>
      <c r="I56" s="81"/>
      <c r="J56" s="332" t="s">
        <v>115</v>
      </c>
      <c r="K56" s="79" t="s">
        <v>595</v>
      </c>
      <c r="L56" s="329"/>
      <c r="M56" s="332" t="s">
        <v>115</v>
      </c>
      <c r="N56" s="330" t="s">
        <v>596</v>
      </c>
      <c r="O56" s="329"/>
    </row>
    <row r="57" spans="1:15" ht="19.5" customHeight="1" thickBot="1">
      <c r="A57" s="78">
        <f t="shared" si="1"/>
      </c>
      <c r="B57" s="729"/>
      <c r="C57" s="75"/>
      <c r="D57" s="323">
        <f t="shared" si="0"/>
      </c>
      <c r="E57" s="729"/>
      <c r="F57" s="75"/>
      <c r="G57" s="493"/>
      <c r="H57" s="493"/>
      <c r="I57" s="81"/>
      <c r="J57" s="333"/>
      <c r="K57" s="79" t="str">
        <f>IF('Setup Bm Input'!$F$51="Net","Net El.","Gross El.")</f>
        <v>Gross El.</v>
      </c>
      <c r="L57" s="329"/>
      <c r="M57" s="333"/>
      <c r="N57" s="79" t="str">
        <f>IF('Setup Bm Input'!$F$51="Net","Net El.","Gross El.")</f>
        <v>Gross El.</v>
      </c>
      <c r="O57" s="329"/>
    </row>
    <row r="58" spans="1:15" ht="19.5" customHeight="1" thickBot="1">
      <c r="A58" s="78">
        <f t="shared" si="1"/>
      </c>
      <c r="B58" s="729"/>
      <c r="C58" s="328"/>
      <c r="D58" s="323">
        <f t="shared" si="0"/>
      </c>
      <c r="E58" s="729"/>
      <c r="F58" s="328"/>
      <c r="G58" s="493"/>
      <c r="H58" s="493"/>
      <c r="I58" s="82">
        <f>IF(J58="","",1)</f>
      </c>
      <c r="J58" s="729"/>
      <c r="K58" s="75"/>
      <c r="L58" s="82">
        <f>IF(M58="","",1)</f>
      </c>
      <c r="M58" s="729"/>
      <c r="N58" s="144"/>
      <c r="O58" s="720"/>
    </row>
    <row r="59" spans="1:15" ht="19.5" customHeight="1" thickBot="1">
      <c r="A59" s="78">
        <f t="shared" si="1"/>
      </c>
      <c r="B59" s="327"/>
      <c r="C59" s="329"/>
      <c r="D59" s="329"/>
      <c r="E59" s="323"/>
      <c r="F59" s="327"/>
      <c r="G59" s="493"/>
      <c r="H59" s="493"/>
      <c r="I59" s="82">
        <f>IF(J59="","",I58+1)</f>
      </c>
      <c r="J59" s="729"/>
      <c r="K59" s="75"/>
      <c r="L59" s="82">
        <f>IF(M59="","",L58+1)</f>
      </c>
      <c r="M59" s="729"/>
      <c r="N59" s="144"/>
      <c r="O59" s="720"/>
    </row>
    <row r="60" spans="1:15" ht="19.5" customHeight="1">
      <c r="A60" s="78"/>
      <c r="B60" s="347" t="s">
        <v>756</v>
      </c>
      <c r="C60" s="329"/>
      <c r="D60" s="329"/>
      <c r="E60" s="323"/>
      <c r="F60" s="327"/>
      <c r="G60" s="329"/>
      <c r="H60" s="81"/>
      <c r="I60" s="493"/>
      <c r="J60" s="493"/>
      <c r="K60" s="493"/>
      <c r="L60" s="493"/>
      <c r="M60" s="493"/>
      <c r="N60" s="493"/>
      <c r="O60" s="493"/>
    </row>
    <row r="61" spans="1:17" ht="19.5" customHeight="1">
      <c r="A61" s="78">
        <f t="shared" si="1"/>
      </c>
      <c r="B61" s="327"/>
      <c r="C61" s="493"/>
      <c r="D61" s="493"/>
      <c r="E61" s="493"/>
      <c r="F61" s="493"/>
      <c r="G61" s="493"/>
      <c r="H61" s="493"/>
      <c r="I61" s="493"/>
      <c r="J61" s="347" t="s">
        <v>758</v>
      </c>
      <c r="K61" s="493"/>
      <c r="L61" s="329"/>
      <c r="M61" s="329"/>
      <c r="N61" s="329"/>
      <c r="O61" s="329"/>
      <c r="P61" s="329"/>
      <c r="Q61" s="329"/>
    </row>
    <row r="62" spans="1:17" ht="19.5" customHeight="1">
      <c r="A62" s="78">
        <f>IF(B62="","",A61+1)</f>
      </c>
      <c r="B62" s="327"/>
      <c r="C62" s="493"/>
      <c r="D62" s="493"/>
      <c r="E62" s="493"/>
      <c r="F62" s="493"/>
      <c r="G62" s="493"/>
      <c r="H62" s="493"/>
      <c r="I62" s="493"/>
      <c r="J62" s="493"/>
      <c r="K62" s="493"/>
      <c r="L62" s="493"/>
      <c r="M62" s="329"/>
      <c r="N62" s="329"/>
      <c r="O62" s="329"/>
      <c r="P62" s="329"/>
      <c r="Q62" s="329"/>
    </row>
    <row r="63" spans="1:17" ht="19.5" customHeight="1">
      <c r="A63" s="78">
        <f>IF(B66="","",A62+1)</f>
      </c>
      <c r="B63" s="493"/>
      <c r="C63" s="493"/>
      <c r="D63" s="588"/>
      <c r="E63" s="588"/>
      <c r="F63" s="588"/>
      <c r="G63" s="721" t="s">
        <v>695</v>
      </c>
      <c r="H63" s="588"/>
      <c r="I63" s="588"/>
      <c r="J63" s="588"/>
      <c r="K63" s="588"/>
      <c r="L63" s="493"/>
      <c r="M63" s="722"/>
      <c r="N63" s="720"/>
      <c r="O63" s="327"/>
      <c r="P63" s="334"/>
      <c r="Q63" s="335"/>
    </row>
    <row r="64" spans="1:17" ht="19.5" customHeight="1">
      <c r="A64" s="78">
        <f>IF(B67="","",A63+1)</f>
      </c>
      <c r="B64" s="493"/>
      <c r="C64" s="493"/>
      <c r="D64" s="588"/>
      <c r="E64" s="588"/>
      <c r="F64" s="588"/>
      <c r="G64" s="588"/>
      <c r="H64" s="588"/>
      <c r="I64" s="588"/>
      <c r="J64" s="588"/>
      <c r="K64" s="588"/>
      <c r="L64" s="493"/>
      <c r="M64" s="722"/>
      <c r="N64" s="720"/>
      <c r="O64" s="327"/>
      <c r="P64" s="334"/>
      <c r="Q64" s="335"/>
    </row>
    <row r="65" spans="1:15" ht="19.5" customHeight="1">
      <c r="A65" s="493"/>
      <c r="B65" s="493"/>
      <c r="C65" s="493"/>
      <c r="D65" s="723" t="s">
        <v>696</v>
      </c>
      <c r="E65" s="724"/>
      <c r="F65" s="725" t="s">
        <v>697</v>
      </c>
      <c r="G65" s="725"/>
      <c r="H65" s="724"/>
      <c r="I65" s="725" t="s">
        <v>698</v>
      </c>
      <c r="J65" s="725"/>
      <c r="K65" s="726"/>
      <c r="L65" s="493"/>
      <c r="M65" s="493"/>
      <c r="N65" s="493"/>
      <c r="O65" s="493"/>
    </row>
    <row r="66" spans="1:15" ht="19.5" customHeight="1">
      <c r="A66" s="493"/>
      <c r="B66" s="327"/>
      <c r="C66" s="493"/>
      <c r="D66" s="730"/>
      <c r="E66" s="731"/>
      <c r="F66" s="732"/>
      <c r="G66" s="732"/>
      <c r="H66" s="731"/>
      <c r="I66" s="733"/>
      <c r="J66" s="733"/>
      <c r="K66" s="734"/>
      <c r="L66" s="493"/>
      <c r="M66" s="493"/>
      <c r="N66" s="493"/>
      <c r="O66" s="493"/>
    </row>
    <row r="67" spans="1:15" ht="19.5" customHeight="1">
      <c r="A67" s="493"/>
      <c r="B67" s="327"/>
      <c r="C67" s="493"/>
      <c r="D67" s="493"/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3"/>
    </row>
    <row r="68" spans="1:15" ht="12.75">
      <c r="A68" s="493"/>
      <c r="B68" s="493"/>
      <c r="C68" s="493"/>
      <c r="D68" s="81" t="s">
        <v>577</v>
      </c>
      <c r="E68" s="87"/>
      <c r="F68" s="87"/>
      <c r="G68" s="87"/>
      <c r="H68" s="87"/>
      <c r="I68" s="87"/>
      <c r="J68" s="87"/>
      <c r="K68" s="87"/>
      <c r="L68" s="87"/>
      <c r="M68" s="493"/>
      <c r="N68" s="493"/>
      <c r="O68" s="493"/>
    </row>
    <row r="69" spans="1:15" ht="12.75">
      <c r="A69" s="493"/>
      <c r="B69" s="493"/>
      <c r="C69" s="493"/>
      <c r="D69" s="81"/>
      <c r="E69" s="84"/>
      <c r="F69" s="84"/>
      <c r="G69" s="84"/>
      <c r="H69" s="84"/>
      <c r="I69" s="84"/>
      <c r="J69" s="84"/>
      <c r="K69" s="84"/>
      <c r="L69" s="84"/>
      <c r="M69" s="493"/>
      <c r="N69" s="493"/>
      <c r="O69" s="493"/>
    </row>
    <row r="70" spans="1:15" ht="12.75">
      <c r="A70" s="493"/>
      <c r="B70" s="493"/>
      <c r="C70" s="493"/>
      <c r="D70" s="87"/>
      <c r="E70" s="87"/>
      <c r="F70" s="87"/>
      <c r="G70" s="87"/>
      <c r="H70" s="87"/>
      <c r="I70" s="87"/>
      <c r="J70" s="87"/>
      <c r="K70" s="87"/>
      <c r="L70" s="87"/>
      <c r="M70" s="493"/>
      <c r="N70" s="493"/>
      <c r="O70" s="493"/>
    </row>
    <row r="71" spans="1:15" ht="12.75">
      <c r="A71" s="493"/>
      <c r="B71" s="493"/>
      <c r="C71" s="493"/>
      <c r="D71" s="735"/>
      <c r="E71" s="735"/>
      <c r="F71" s="735"/>
      <c r="G71" s="735"/>
      <c r="H71" s="735"/>
      <c r="I71" s="735"/>
      <c r="J71" s="735"/>
      <c r="K71" s="735"/>
      <c r="L71" s="735"/>
      <c r="M71" s="493"/>
      <c r="N71" s="493"/>
      <c r="O71" s="493"/>
    </row>
    <row r="72" spans="1:15" ht="12.75">
      <c r="A72" s="493"/>
      <c r="B72" s="493"/>
      <c r="C72" s="493"/>
      <c r="D72" s="87"/>
      <c r="E72" s="87"/>
      <c r="F72" s="87"/>
      <c r="G72" s="87"/>
      <c r="H72" s="87"/>
      <c r="I72" s="87"/>
      <c r="J72" s="87"/>
      <c r="K72" s="87"/>
      <c r="L72" s="87"/>
      <c r="M72" s="493"/>
      <c r="N72" s="493"/>
      <c r="O72" s="493"/>
    </row>
    <row r="73" spans="1:15" ht="12.75">
      <c r="A73" s="494"/>
      <c r="B73" s="493"/>
      <c r="C73" s="493"/>
      <c r="D73" s="493"/>
      <c r="E73" s="493"/>
      <c r="F73" s="493"/>
      <c r="G73" s="493"/>
      <c r="H73" s="493"/>
      <c r="I73" s="493"/>
      <c r="J73" s="493"/>
      <c r="K73" s="493"/>
      <c r="L73" s="493"/>
      <c r="M73" s="493"/>
      <c r="N73" s="493"/>
      <c r="O73" s="493"/>
    </row>
    <row r="74" spans="1:15" ht="12.75">
      <c r="A74" s="493"/>
      <c r="B74" s="493"/>
      <c r="C74" s="493"/>
      <c r="D74" s="493"/>
      <c r="E74" s="493"/>
      <c r="F74" s="493"/>
      <c r="G74" s="493"/>
      <c r="H74" s="493"/>
      <c r="I74" s="692" t="s">
        <v>1016</v>
      </c>
      <c r="J74" s="569">
        <f>+IF(Input!E14="","",Input!E14)</f>
      </c>
      <c r="K74" s="616"/>
      <c r="L74" s="525"/>
      <c r="M74" s="493"/>
      <c r="N74" s="493"/>
      <c r="O74" s="493"/>
    </row>
    <row r="75" spans="1:15" ht="12.75">
      <c r="A75" s="693" t="s">
        <v>1272</v>
      </c>
      <c r="B75" s="493"/>
      <c r="C75" s="493"/>
      <c r="D75" s="493"/>
      <c r="E75" s="493"/>
      <c r="F75" s="493"/>
      <c r="G75" s="493"/>
      <c r="H75" s="493"/>
      <c r="I75" s="493"/>
      <c r="J75" s="493"/>
      <c r="K75" s="493"/>
      <c r="L75" s="493"/>
      <c r="M75" s="493"/>
      <c r="N75" s="493"/>
      <c r="O75" s="493"/>
    </row>
  </sheetData>
  <sheetProtection sheet="1" objects="1" scenarios="1"/>
  <mergeCells count="6">
    <mergeCell ref="A12:O12"/>
    <mergeCell ref="G13:G16"/>
    <mergeCell ref="A2:C2"/>
    <mergeCell ref="A9:O9"/>
    <mergeCell ref="A10:O10"/>
    <mergeCell ref="A11:O11"/>
  </mergeCells>
  <dataValidations count="4">
    <dataValidation type="list" allowBlank="1" showInputMessage="1" showErrorMessage="1" sqref="K13:K16">
      <formula1>Input!$E$64:$E$68</formula1>
    </dataValidation>
    <dataValidation type="list" allowBlank="1" showInputMessage="1" showErrorMessage="1" sqref="I13:I16">
      <formula1>Input!$C$64:$C$68</formula1>
    </dataValidation>
    <dataValidation type="list" allowBlank="1" showInputMessage="1" showErrorMessage="1" sqref="F59:F60 K51:K52 N51:N52">
      <formula1>$E$32:$E$35</formula1>
    </dataValidation>
    <dataValidation type="list" allowBlank="1" showInputMessage="1" showErrorMessage="1" sqref="B41:B58 E41:E58 H41:H42 K41:K42 N41:N42 H46:H47 K46:K47 N46:N47 H51:H52 J58:J59 M58:M59">
      <formula1>$E$32:$E$36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1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0039062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2" ht="12.75">
      <c r="A1" s="70"/>
      <c r="B1" s="70"/>
      <c r="C1" s="70"/>
      <c r="D1" s="70"/>
      <c r="E1" s="1023" t="s">
        <v>861</v>
      </c>
      <c r="F1" s="1024"/>
      <c r="G1" s="1024"/>
      <c r="H1" s="70"/>
      <c r="I1" s="70"/>
      <c r="J1" s="70"/>
      <c r="K1" s="66"/>
      <c r="L1" s="66"/>
      <c r="M1" s="66"/>
      <c r="N1" s="66"/>
      <c r="O1" s="66"/>
      <c r="P1" s="8"/>
      <c r="Q1" s="21"/>
      <c r="R1" s="21"/>
      <c r="S1" s="18"/>
      <c r="T1" s="18"/>
      <c r="U1" s="18"/>
      <c r="V1" s="18"/>
    </row>
    <row r="2" spans="1:22" ht="15.75">
      <c r="A2" s="736" t="s">
        <v>775</v>
      </c>
      <c r="B2" s="705"/>
      <c r="C2" s="705"/>
      <c r="D2" s="705"/>
      <c r="E2" s="705"/>
      <c r="F2" s="705"/>
      <c r="G2" s="705"/>
      <c r="H2" s="705"/>
      <c r="I2" s="705"/>
      <c r="J2" s="705"/>
      <c r="K2" s="66"/>
      <c r="L2" s="66"/>
      <c r="M2" s="66"/>
      <c r="N2" s="66"/>
      <c r="O2" s="66"/>
      <c r="P2" s="8"/>
      <c r="Q2" s="21"/>
      <c r="R2" s="21"/>
      <c r="S2" s="18"/>
      <c r="T2" s="18"/>
      <c r="U2" s="18"/>
      <c r="V2" s="18"/>
    </row>
    <row r="3" spans="1:22" ht="12.75">
      <c r="A3" s="344"/>
      <c r="B3" s="737"/>
      <c r="C3" s="70"/>
      <c r="D3" s="344"/>
      <c r="E3" s="70"/>
      <c r="F3" s="70"/>
      <c r="G3" s="344"/>
      <c r="H3" s="70"/>
      <c r="I3" s="705"/>
      <c r="J3" s="705"/>
      <c r="K3" s="70"/>
      <c r="L3" s="70"/>
      <c r="M3" s="70"/>
      <c r="N3" s="70"/>
      <c r="O3" s="70"/>
      <c r="P3" s="8"/>
      <c r="Q3" s="21"/>
      <c r="R3" s="21"/>
      <c r="S3" s="18"/>
      <c r="T3" s="18"/>
      <c r="U3" s="18"/>
      <c r="V3" s="18"/>
    </row>
    <row r="4" spans="1:22" ht="12.75">
      <c r="A4" s="70"/>
      <c r="B4" s="255"/>
      <c r="C4" s="70"/>
      <c r="D4" s="344"/>
      <c r="E4" s="70"/>
      <c r="F4" s="70"/>
      <c r="G4" s="70"/>
      <c r="H4" s="70"/>
      <c r="I4" s="705"/>
      <c r="J4" s="705"/>
      <c r="K4" s="70"/>
      <c r="L4" s="70"/>
      <c r="M4" s="70"/>
      <c r="N4" s="70"/>
      <c r="O4" s="70"/>
      <c r="P4" s="8"/>
      <c r="Q4" s="21"/>
      <c r="R4" s="21"/>
      <c r="S4" s="18"/>
      <c r="T4" s="18"/>
      <c r="U4" s="18"/>
      <c r="V4" s="18"/>
    </row>
    <row r="5" spans="1:22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8"/>
      <c r="Q5" s="21"/>
      <c r="R5" s="21"/>
      <c r="S5" s="18"/>
      <c r="T5" s="18"/>
      <c r="U5" s="18"/>
      <c r="V5" s="18"/>
    </row>
    <row r="6" spans="1:22" ht="12.75">
      <c r="A6" s="66" t="s">
        <v>114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8"/>
      <c r="Q6" s="21"/>
      <c r="R6" s="21"/>
      <c r="S6" s="18"/>
      <c r="T6" s="18"/>
      <c r="U6" s="18"/>
      <c r="V6" s="18"/>
    </row>
    <row r="7" spans="1:22" ht="4.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70"/>
      <c r="Q7" s="21"/>
      <c r="R7" s="21"/>
      <c r="S7" s="18"/>
      <c r="T7" s="18"/>
      <c r="U7" s="18"/>
      <c r="V7" s="18"/>
    </row>
    <row r="8" spans="1:22" ht="12.75">
      <c r="A8" s="66" t="s">
        <v>776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" t="s">
        <v>1310</v>
      </c>
      <c r="O8" s="70"/>
      <c r="P8" s="70"/>
      <c r="Q8" s="21"/>
      <c r="R8" s="21"/>
      <c r="S8" s="18"/>
      <c r="T8" s="18"/>
      <c r="U8" s="18"/>
      <c r="V8" s="18"/>
    </row>
    <row r="9" spans="1:22" ht="15.75">
      <c r="A9" s="1025" t="s">
        <v>84</v>
      </c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58"/>
      <c r="Q9" s="21"/>
      <c r="R9" s="21"/>
      <c r="S9" s="18"/>
      <c r="T9" s="18"/>
      <c r="U9" s="18"/>
      <c r="V9" s="18"/>
    </row>
    <row r="10" spans="1:22" ht="12.75">
      <c r="A10" s="1027" t="s">
        <v>101</v>
      </c>
      <c r="B10" s="1026"/>
      <c r="C10" s="1026"/>
      <c r="D10" s="1026"/>
      <c r="E10" s="1026"/>
      <c r="F10" s="1026"/>
      <c r="G10" s="1026"/>
      <c r="H10" s="1026"/>
      <c r="I10" s="1026"/>
      <c r="J10" s="1026"/>
      <c r="K10" s="1026"/>
      <c r="L10" s="1026"/>
      <c r="M10" s="1026"/>
      <c r="N10" s="1026"/>
      <c r="O10" s="1026"/>
      <c r="P10" s="346"/>
      <c r="Q10" s="21"/>
      <c r="R10" s="21"/>
      <c r="S10" s="18"/>
      <c r="T10" s="18"/>
      <c r="U10" s="18"/>
      <c r="V10" s="18"/>
    </row>
    <row r="11" spans="1:22" ht="12.75">
      <c r="A11" s="1027" t="s">
        <v>102</v>
      </c>
      <c r="B11" s="1026"/>
      <c r="C11" s="1026"/>
      <c r="D11" s="1026"/>
      <c r="E11" s="1026"/>
      <c r="F11" s="1026"/>
      <c r="G11" s="1026"/>
      <c r="H11" s="1026"/>
      <c r="I11" s="1026"/>
      <c r="J11" s="1026"/>
      <c r="K11" s="1026"/>
      <c r="L11" s="1026"/>
      <c r="M11" s="1026"/>
      <c r="N11" s="1026"/>
      <c r="O11" s="1026"/>
      <c r="P11" s="346"/>
      <c r="Q11" s="21"/>
      <c r="R11" s="21"/>
      <c r="S11" s="18"/>
      <c r="T11" s="18"/>
      <c r="U11" s="18"/>
      <c r="V11" s="18"/>
    </row>
    <row r="12" spans="1:22" ht="12.75">
      <c r="A12" s="1030" t="s">
        <v>1265</v>
      </c>
      <c r="B12" s="1035"/>
      <c r="C12" s="1035"/>
      <c r="D12" s="1035"/>
      <c r="E12" s="1035"/>
      <c r="F12" s="1035"/>
      <c r="G12" s="1035"/>
      <c r="H12" s="1035"/>
      <c r="I12" s="1035"/>
      <c r="J12" s="1035"/>
      <c r="K12" s="1035"/>
      <c r="L12" s="1035"/>
      <c r="M12" s="1035"/>
      <c r="N12" s="1035"/>
      <c r="O12" s="1035"/>
      <c r="P12" s="346"/>
      <c r="Q12" s="21"/>
      <c r="R12" s="21"/>
      <c r="S12" s="18"/>
      <c r="T12" s="18"/>
      <c r="U12" s="18"/>
      <c r="V12" s="18"/>
    </row>
    <row r="13" spans="1:22" ht="12.75">
      <c r="A13" s="493"/>
      <c r="B13" s="493"/>
      <c r="C13" s="493"/>
      <c r="D13" s="496" t="s">
        <v>1003</v>
      </c>
      <c r="E13" s="497">
        <f>IF(Input!$B$7="","",Input!$B$7)</f>
      </c>
      <c r="F13" s="498"/>
      <c r="G13" s="1020" t="s">
        <v>107</v>
      </c>
      <c r="H13" s="500">
        <v>1</v>
      </c>
      <c r="I13" s="728"/>
      <c r="J13" s="500">
        <v>5</v>
      </c>
      <c r="K13" s="728"/>
      <c r="L13" s="502" t="s">
        <v>560</v>
      </c>
      <c r="M13" s="607"/>
      <c r="N13" s="503"/>
      <c r="O13" s="322"/>
      <c r="P13" s="65"/>
      <c r="Q13" s="21"/>
      <c r="R13" s="21"/>
      <c r="S13" s="18"/>
      <c r="T13" s="18"/>
      <c r="U13" s="18"/>
      <c r="V13" s="18"/>
    </row>
    <row r="14" spans="1:22" ht="12.75">
      <c r="A14" s="493"/>
      <c r="B14" s="493"/>
      <c r="C14" s="493"/>
      <c r="D14" s="496" t="s">
        <v>103</v>
      </c>
      <c r="E14" s="497">
        <f>IF(Input!$B$8="","",Input!$B$8)</f>
      </c>
      <c r="F14" s="498"/>
      <c r="G14" s="1021"/>
      <c r="H14" s="500">
        <v>2</v>
      </c>
      <c r="I14" s="728"/>
      <c r="J14" s="500">
        <v>6</v>
      </c>
      <c r="K14" s="728"/>
      <c r="L14" s="505" t="s">
        <v>50</v>
      </c>
      <c r="M14" s="506">
        <f ca="1">TODAY()</f>
        <v>40878</v>
      </c>
      <c r="N14" s="503"/>
      <c r="O14" s="322"/>
      <c r="P14" s="65"/>
      <c r="Q14" s="21"/>
      <c r="R14" s="21"/>
      <c r="S14" s="18"/>
      <c r="T14" s="18"/>
      <c r="U14" s="18"/>
      <c r="V14" s="18"/>
    </row>
    <row r="15" spans="1:22" ht="12.75">
      <c r="A15" s="493"/>
      <c r="B15" s="493"/>
      <c r="C15" s="493"/>
      <c r="D15" s="496" t="s">
        <v>1041</v>
      </c>
      <c r="E15" s="497">
        <f>IF(Input!$B$10="","",Input!$B$10)</f>
      </c>
      <c r="F15" s="498"/>
      <c r="G15" s="1021"/>
      <c r="H15" s="500">
        <v>3</v>
      </c>
      <c r="I15" s="728"/>
      <c r="J15" s="500">
        <v>7</v>
      </c>
      <c r="K15" s="728"/>
      <c r="L15" s="496" t="s">
        <v>1034</v>
      </c>
      <c r="M15" s="507">
        <f>IF(Input!$B$30="","",Input!$B$30)</f>
      </c>
      <c r="N15" s="508"/>
      <c r="O15" s="322"/>
      <c r="P15" s="65"/>
      <c r="Q15" s="21"/>
      <c r="R15" s="21"/>
      <c r="S15" s="18"/>
      <c r="T15" s="18"/>
      <c r="U15" s="18"/>
      <c r="V15" s="18"/>
    </row>
    <row r="16" spans="1:22" ht="12.75">
      <c r="A16" s="493"/>
      <c r="B16" s="493"/>
      <c r="C16" s="493"/>
      <c r="D16" s="496" t="s">
        <v>1004</v>
      </c>
      <c r="E16" s="497">
        <f>IF(Input!$E$5="","",Input!$E$5)</f>
      </c>
      <c r="F16" s="498"/>
      <c r="G16" s="1022"/>
      <c r="H16" s="500">
        <v>4</v>
      </c>
      <c r="I16" s="728"/>
      <c r="J16" s="500">
        <v>8</v>
      </c>
      <c r="K16" s="728"/>
      <c r="L16" s="496" t="s">
        <v>1035</v>
      </c>
      <c r="M16" s="507">
        <f>IF(Input!$B$31="","",Input!$B$31)</f>
      </c>
      <c r="N16" s="508"/>
      <c r="O16" s="322"/>
      <c r="P16" s="65"/>
      <c r="Q16" s="21"/>
      <c r="R16" s="21"/>
      <c r="S16" s="18"/>
      <c r="T16" s="18"/>
      <c r="U16" s="18"/>
      <c r="V16" s="18"/>
    </row>
    <row r="17" spans="1:22" ht="12.75">
      <c r="A17" s="493"/>
      <c r="B17" s="493"/>
      <c r="C17" s="493"/>
      <c r="D17" s="510" t="s">
        <v>49</v>
      </c>
      <c r="E17" s="497">
        <f>IF(Input!$E$6="","",Input!$E$6)</f>
      </c>
      <c r="F17" s="498"/>
      <c r="G17" s="496" t="s">
        <v>1017</v>
      </c>
      <c r="H17" s="511">
        <f>IF(Input!$B$68="","",Input!$B$68)</f>
      </c>
      <c r="I17" s="512"/>
      <c r="J17" s="512"/>
      <c r="K17" s="512"/>
      <c r="L17" s="496" t="s">
        <v>1030</v>
      </c>
      <c r="M17" s="507">
        <f>IF(Input!$B$32="","",Input!$B$32)</f>
      </c>
      <c r="N17" s="508"/>
      <c r="O17" s="493"/>
      <c r="P17" s="65"/>
      <c r="Q17" s="21"/>
      <c r="R17" s="21"/>
      <c r="S17" s="18"/>
      <c r="T17" s="18"/>
      <c r="U17" s="18"/>
      <c r="V17" s="18"/>
    </row>
    <row r="18" spans="1:22" ht="12.75">
      <c r="A18" s="493"/>
      <c r="B18" s="493"/>
      <c r="C18" s="493"/>
      <c r="D18" s="510" t="s">
        <v>106</v>
      </c>
      <c r="E18" s="497">
        <f>IF(Input!$E$7="","",Input!$E$7)</f>
      </c>
      <c r="F18" s="498"/>
      <c r="G18" s="496" t="s">
        <v>1018</v>
      </c>
      <c r="H18" s="511">
        <f>IF(Input!$B$69="","",Input!$B$69)</f>
      </c>
      <c r="I18" s="512"/>
      <c r="J18" s="512"/>
      <c r="K18" s="512"/>
      <c r="L18" s="496" t="s">
        <v>1036</v>
      </c>
      <c r="M18" s="507">
        <f>IF(Input!$B$33="","",Input!$B$33)</f>
      </c>
      <c r="N18" s="508"/>
      <c r="O18" s="493"/>
      <c r="P18" s="65"/>
      <c r="Q18" s="21"/>
      <c r="R18" s="21"/>
      <c r="S18" s="18"/>
      <c r="T18" s="18"/>
      <c r="U18" s="18"/>
      <c r="V18" s="18"/>
    </row>
    <row r="19" spans="1:22" ht="12.75">
      <c r="A19" s="493"/>
      <c r="B19" s="493"/>
      <c r="C19" s="493"/>
      <c r="D19" s="510" t="s">
        <v>48</v>
      </c>
      <c r="E19" s="497">
        <f>IF(Input!$E$8="","",Input!$E$8)</f>
      </c>
      <c r="F19" s="498"/>
      <c r="G19" s="496" t="s">
        <v>1019</v>
      </c>
      <c r="H19" s="511">
        <f>IF(Input!$B$70="","",Input!$B$70)</f>
      </c>
      <c r="I19" s="512"/>
      <c r="J19" s="512"/>
      <c r="K19" s="512"/>
      <c r="L19" s="496" t="s">
        <v>1033</v>
      </c>
      <c r="M19" s="507">
        <f>IF(Input!$B$34="","",Input!$B$34)</f>
      </c>
      <c r="N19" s="508"/>
      <c r="O19" s="493"/>
      <c r="P19" s="65"/>
      <c r="Q19" s="21"/>
      <c r="R19" s="21"/>
      <c r="S19" s="18"/>
      <c r="T19" s="18"/>
      <c r="U19" s="18"/>
      <c r="V19" s="18"/>
    </row>
    <row r="20" spans="1:22" ht="12.75">
      <c r="A20" s="493"/>
      <c r="B20" s="493"/>
      <c r="C20" s="493"/>
      <c r="D20" s="496" t="s">
        <v>1039</v>
      </c>
      <c r="E20" s="497">
        <f>IF(Input!$B$37="","",Input!$B$37)</f>
      </c>
      <c r="F20" s="498"/>
      <c r="G20" s="496" t="s">
        <v>1020</v>
      </c>
      <c r="H20" s="511">
        <f>IF(Input!$B$71="","",Input!$B$71)</f>
      </c>
      <c r="I20" s="512"/>
      <c r="J20" s="512"/>
      <c r="K20" s="512"/>
      <c r="L20" s="496" t="s">
        <v>1037</v>
      </c>
      <c r="M20" s="507">
        <f>IF(Input!$B$35="","",Input!$B$35)</f>
      </c>
      <c r="N20" s="508"/>
      <c r="O20" s="493"/>
      <c r="P20" s="65"/>
      <c r="Q20" s="21"/>
      <c r="R20" s="21"/>
      <c r="S20" s="18"/>
      <c r="T20" s="18"/>
      <c r="U20" s="18"/>
      <c r="V20" s="18"/>
    </row>
    <row r="21" spans="1:22" ht="12.75">
      <c r="A21" s="493"/>
      <c r="B21" s="493"/>
      <c r="C21" s="493"/>
      <c r="D21" s="496" t="s">
        <v>98</v>
      </c>
      <c r="E21" s="573"/>
      <c r="F21" s="574"/>
      <c r="G21" s="496" t="s">
        <v>1021</v>
      </c>
      <c r="H21" s="511">
        <f>IF(Input!$B$72="","",Input!$B$72)</f>
      </c>
      <c r="I21" s="512"/>
      <c r="J21" s="512"/>
      <c r="K21" s="512"/>
      <c r="L21" s="496" t="s">
        <v>1038</v>
      </c>
      <c r="M21" s="507">
        <f>IF(Input!$B$36="","",Input!$B$36)</f>
      </c>
      <c r="N21" s="508"/>
      <c r="O21" s="493"/>
      <c r="P21" s="70"/>
      <c r="Q21" s="21"/>
      <c r="R21" s="21"/>
      <c r="S21" s="18"/>
      <c r="T21" s="18"/>
      <c r="U21" s="18"/>
      <c r="V21" s="18"/>
    </row>
    <row r="22" spans="1:22" ht="12.75">
      <c r="A22" s="493"/>
      <c r="B22" s="493"/>
      <c r="C22" s="493"/>
      <c r="D22" s="496" t="s">
        <v>104</v>
      </c>
      <c r="E22" s="497">
        <f>IF(Input!$B$9="","",Input!$B$9)</f>
      </c>
      <c r="F22" s="498"/>
      <c r="G22" s="496" t="s">
        <v>1022</v>
      </c>
      <c r="H22" s="511">
        <f>IF(Input!$B$73="","",Input!$B$73)</f>
      </c>
      <c r="I22" s="512"/>
      <c r="J22" s="512"/>
      <c r="K22" s="512"/>
      <c r="L22" s="513"/>
      <c r="M22" s="514"/>
      <c r="N22" s="515"/>
      <c r="O22" s="493"/>
      <c r="P22" s="70"/>
      <c r="Q22" s="21"/>
      <c r="R22" s="21"/>
      <c r="S22" s="18"/>
      <c r="T22" s="18"/>
      <c r="U22" s="18"/>
      <c r="V22" s="18"/>
    </row>
    <row r="23" spans="1:22" ht="12.75">
      <c r="A23" s="493"/>
      <c r="B23" s="493"/>
      <c r="C23" s="493"/>
      <c r="D23" s="496" t="s">
        <v>105</v>
      </c>
      <c r="E23" s="516">
        <f>'Setup Bm Input'!$B$34</f>
      </c>
      <c r="F23" s="498" t="str">
        <f>IF(Input!$B$6="","",IF(Input!$B$6="E","in.",IF(Input!$B$6="M","mm")))</f>
        <v>in.</v>
      </c>
      <c r="G23" s="496" t="s">
        <v>1024</v>
      </c>
      <c r="H23" s="511">
        <f>IF('Setup Bm Input'!$A$46="","",'Setup Bm Input'!$A$46)</f>
      </c>
      <c r="I23" s="512"/>
      <c r="J23" s="512"/>
      <c r="K23" s="512"/>
      <c r="L23" s="517"/>
      <c r="M23" s="518"/>
      <c r="N23" s="515"/>
      <c r="O23" s="493"/>
      <c r="P23" s="70"/>
      <c r="Q23" s="21"/>
      <c r="R23" s="21"/>
      <c r="S23" s="18"/>
      <c r="T23" s="18"/>
      <c r="U23" s="18"/>
      <c r="V23" s="18"/>
    </row>
    <row r="24" spans="1:22" ht="12.75">
      <c r="A24" s="493"/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70"/>
      <c r="Q24" s="21"/>
      <c r="R24" s="21"/>
      <c r="S24" s="18"/>
      <c r="T24" s="18"/>
      <c r="U24" s="18"/>
      <c r="V24" s="18"/>
    </row>
    <row r="25" spans="1:22" ht="19.5" customHeight="1">
      <c r="A25" s="81"/>
      <c r="B25" s="83"/>
      <c r="C25" s="78" t="s">
        <v>715</v>
      </c>
      <c r="D25" s="341">
        <f>IF(B5="","",B5)</f>
      </c>
      <c r="E25" s="710"/>
      <c r="F25" s="78" t="s">
        <v>716</v>
      </c>
      <c r="G25" s="343"/>
      <c r="H25" s="81"/>
      <c r="I25" s="78" t="s">
        <v>717</v>
      </c>
      <c r="J25" s="342">
        <f>IF(H5="","",H5)</f>
      </c>
      <c r="K25" s="81"/>
      <c r="L25" s="81"/>
      <c r="M25" s="81"/>
      <c r="N25" s="81"/>
      <c r="O25" s="81"/>
      <c r="P25" s="70"/>
      <c r="Q25" s="21"/>
      <c r="R25" s="21"/>
      <c r="S25" s="18"/>
      <c r="T25" s="18"/>
      <c r="U25" s="18"/>
      <c r="V25" s="18"/>
    </row>
    <row r="26" spans="1:22" ht="19.5" customHeight="1">
      <c r="A26" s="81"/>
      <c r="B26" s="83"/>
      <c r="C26" s="78"/>
      <c r="D26" s="82" t="s">
        <v>594</v>
      </c>
      <c r="E26" s="710"/>
      <c r="F26" s="493"/>
      <c r="G26" s="493"/>
      <c r="H26" s="81"/>
      <c r="I26" s="81"/>
      <c r="J26" s="81"/>
      <c r="K26" s="81"/>
      <c r="L26" s="81"/>
      <c r="M26" s="81"/>
      <c r="N26" s="81"/>
      <c r="O26" s="322"/>
      <c r="P26" s="70"/>
      <c r="Q26" s="21"/>
      <c r="R26" s="21"/>
      <c r="S26" s="18"/>
      <c r="T26" s="18"/>
      <c r="U26" s="18"/>
      <c r="V26" s="18"/>
    </row>
    <row r="27" spans="1:22" ht="19.5" customHeight="1">
      <c r="A27" s="81"/>
      <c r="B27" s="83"/>
      <c r="C27" s="78" t="s">
        <v>1005</v>
      </c>
      <c r="D27" s="85">
        <f>+IF('Setup Bm Input'!$B$59="","",'Setup Bm Input'!$B$59)</f>
      </c>
      <c r="E27" s="86"/>
      <c r="F27" s="340"/>
      <c r="G27" s="710"/>
      <c r="H27" s="710"/>
      <c r="I27" s="350" t="s">
        <v>771</v>
      </c>
      <c r="J27" s="352"/>
      <c r="K27" s="353" t="s">
        <v>772</v>
      </c>
      <c r="L27" s="351"/>
      <c r="M27" s="81"/>
      <c r="N27" s="81"/>
      <c r="O27" s="323"/>
      <c r="P27" s="65"/>
      <c r="Q27" s="21"/>
      <c r="R27" s="21"/>
      <c r="S27" s="18"/>
      <c r="T27" s="18"/>
      <c r="U27" s="18"/>
      <c r="V27" s="18"/>
    </row>
    <row r="28" spans="1:22" ht="19.5" customHeight="1">
      <c r="A28" s="81"/>
      <c r="B28" s="83"/>
      <c r="C28" s="81"/>
      <c r="D28" s="81"/>
      <c r="E28" s="81"/>
      <c r="F28" s="81"/>
      <c r="G28" s="81"/>
      <c r="H28" s="81"/>
      <c r="I28" s="337" t="s">
        <v>56</v>
      </c>
      <c r="J28" s="337" t="s">
        <v>56</v>
      </c>
      <c r="K28" s="348" t="s">
        <v>56</v>
      </c>
      <c r="L28" s="339" t="s">
        <v>56</v>
      </c>
      <c r="M28" s="493"/>
      <c r="N28" s="493"/>
      <c r="O28" s="323"/>
      <c r="P28" s="65"/>
      <c r="Q28" s="21"/>
      <c r="R28" s="21"/>
      <c r="S28" s="18"/>
      <c r="T28" s="18"/>
      <c r="U28" s="18"/>
      <c r="V28" s="18"/>
    </row>
    <row r="29" spans="1:22" ht="19.5" customHeight="1">
      <c r="A29" s="81"/>
      <c r="B29" s="493"/>
      <c r="C29" s="493"/>
      <c r="D29" s="738" t="s">
        <v>780</v>
      </c>
      <c r="E29" s="712" t="str">
        <f>+IF('Setup Bm Input'!$B$48="","No Input",'Setup Bm Input'!$B$48)</f>
        <v>No Input</v>
      </c>
      <c r="F29" s="493"/>
      <c r="G29" s="384"/>
      <c r="H29" s="384"/>
      <c r="I29" s="336" t="str">
        <f>IF('Setup Bm Input'!$F$51="","No Input",IF('Setup Bm Input'!$F$51="Net","Net El.","Gross El."))</f>
        <v>No Input</v>
      </c>
      <c r="J29" s="338" t="str">
        <f>IF('Setup Bm Input'!$F$51="","No Input",IF('Setup Bm Input'!$F$51="Net","Net El.","Gross El."))</f>
        <v>No Input</v>
      </c>
      <c r="K29" s="349" t="str">
        <f>IF('Setup Bm Input'!$F$51="","No Input",IF('Setup Bm Input'!$F$51="Net","Net El.","Gross El."))</f>
        <v>No Input</v>
      </c>
      <c r="L29" s="336" t="str">
        <f>IF('Setup Bm Input'!$F$51="","No Input",IF('Setup Bm Input'!$F$51="Net","Net El.","Gross El."))</f>
        <v>No Input</v>
      </c>
      <c r="M29" s="493"/>
      <c r="N29" s="493"/>
      <c r="O29" s="323"/>
      <c r="P29" s="65"/>
      <c r="Q29" s="21"/>
      <c r="R29" s="21"/>
      <c r="S29" s="18"/>
      <c r="T29" s="18"/>
      <c r="U29" s="18"/>
      <c r="V29" s="18"/>
    </row>
    <row r="30" spans="1:22" ht="19.5" customHeight="1">
      <c r="A30" s="78"/>
      <c r="B30" s="493"/>
      <c r="C30" s="493"/>
      <c r="D30" s="493"/>
      <c r="E30" s="493"/>
      <c r="F30" s="493"/>
      <c r="G30" s="699" t="s">
        <v>1197</v>
      </c>
      <c r="H30" s="599" t="s">
        <v>56</v>
      </c>
      <c r="I30" s="713" t="s">
        <v>748</v>
      </c>
      <c r="J30" s="714" t="s">
        <v>747</v>
      </c>
      <c r="K30" s="739" t="s">
        <v>769</v>
      </c>
      <c r="L30" s="714" t="s">
        <v>770</v>
      </c>
      <c r="M30" s="493"/>
      <c r="N30" s="493"/>
      <c r="O30" s="323"/>
      <c r="P30" s="65"/>
      <c r="Q30" s="21"/>
      <c r="R30" s="21"/>
      <c r="S30" s="18"/>
      <c r="T30" s="18"/>
      <c r="U30" s="18"/>
      <c r="V30" s="18"/>
    </row>
    <row r="31" spans="1:22" ht="19.5" customHeight="1">
      <c r="A31" s="78"/>
      <c r="B31" s="493"/>
      <c r="C31" s="560" t="s">
        <v>113</v>
      </c>
      <c r="D31" s="560" t="s">
        <v>115</v>
      </c>
      <c r="E31" s="667" t="s">
        <v>754</v>
      </c>
      <c r="F31" s="667" t="s">
        <v>753</v>
      </c>
      <c r="G31" s="637"/>
      <c r="H31" s="336" t="str">
        <f>IF('Setup Bm Input'!$F$51="","No Input",IF('Setup Bm Input'!$F$51="Net","Net El.","Gross El."))</f>
        <v>No Input</v>
      </c>
      <c r="I31" s="715" t="s">
        <v>556</v>
      </c>
      <c r="J31" s="638" t="s">
        <v>557</v>
      </c>
      <c r="K31" s="686" t="s">
        <v>556</v>
      </c>
      <c r="L31" s="638" t="s">
        <v>557</v>
      </c>
      <c r="M31" s="493"/>
      <c r="N31" s="493"/>
      <c r="O31" s="323"/>
      <c r="P31" s="65"/>
      <c r="Q31" s="21"/>
      <c r="R31" s="21"/>
      <c r="S31" s="18"/>
      <c r="T31" s="18"/>
      <c r="U31" s="18"/>
      <c r="V31" s="18"/>
    </row>
    <row r="32" spans="1:22" ht="19.5" customHeight="1">
      <c r="A32" s="78"/>
      <c r="B32" s="493"/>
      <c r="C32" s="560" t="s">
        <v>90</v>
      </c>
      <c r="D32" s="511">
        <f>+IF('Setup Bm Input'!$B63="","",'Setup Bm Input'!$B63)</f>
      </c>
      <c r="E32" s="511">
        <f>+IF('Setup Bm Input'!$C63="","",'Setup Bm Input'!$C63)</f>
      </c>
      <c r="F32" s="511">
        <f>+IF('Setup Bm Input'!$E63="","",'Setup Bm Input'!$E63/1000000)</f>
      </c>
      <c r="G32" s="716">
        <f>+IF('Singlet F'!$F71="","",'Singlet F'!$F71)</f>
      </c>
      <c r="H32" s="368" t="str">
        <f>IF('Setup Bm Input'!$F$51="","Error",IF('Singlet E'!$G83="","",IF('Singlet E'!$B83="","",IF('Setup Bm Input'!$F$51="Net",'Singlet E'!$G83,'Singlet E'!$B83))))</f>
        <v>Error</v>
      </c>
      <c r="I32" s="368" t="str">
        <f>IF('Setup Bm Input'!$F$51="","Error",IF('Singlet E'!$H83="","",IF('Singlet E'!$C83="","",IF('Setup Bm Input'!$F$51="Net",'Singlet E'!$H83,'Singlet E'!$C83))))</f>
        <v>Error</v>
      </c>
      <c r="J32" s="368" t="str">
        <f>IF('Setup Bm Input'!$F$51="","Error",IF('Singlet E'!$D83="","",IF('Singlet E'!$I83="","",IF('Setup Bm Input'!$F$51="Net",'Singlet E'!$I83,'Singlet E'!$D83))))</f>
        <v>Error</v>
      </c>
      <c r="K32" s="368" t="str">
        <f>IF('Setup Bm Input'!$F$51="","Error",IF('Singlet E'!$J83="","",IF('Singlet E'!$E83="","",IF('Setup Bm Input'!$F$51="Net",'Singlet E'!$J83,'Singlet E'!$E83))))</f>
        <v>Error</v>
      </c>
      <c r="L32" s="368" t="str">
        <f>IF('Setup Bm Input'!$F$51="","Error",IF('Singlet E'!$K83="","",IF('Singlet E'!$F83="","",IF('Setup Bm Input'!$F$51="Net",'Singlet E'!$K83,'Singlet E'!$F83))))</f>
        <v>Error</v>
      </c>
      <c r="M32" s="493"/>
      <c r="N32" s="493"/>
      <c r="O32" s="323"/>
      <c r="P32" s="65"/>
      <c r="Q32" s="21"/>
      <c r="R32" s="21"/>
      <c r="S32" s="18"/>
      <c r="T32" s="18"/>
      <c r="U32" s="18"/>
      <c r="V32" s="18"/>
    </row>
    <row r="33" spans="1:22" ht="19.5" customHeight="1">
      <c r="A33" s="78"/>
      <c r="B33" s="493"/>
      <c r="C33" s="560" t="s">
        <v>91</v>
      </c>
      <c r="D33" s="511">
        <f>+IF('Setup Bm Input'!$B64="","",'Setup Bm Input'!$B64)</f>
      </c>
      <c r="E33" s="511">
        <f>+IF('Setup Bm Input'!$C64="","",'Setup Bm Input'!$C64)</f>
      </c>
      <c r="F33" s="511">
        <f>+IF('Setup Bm Input'!$E64="","",'Setup Bm Input'!$E64/1000000)</f>
      </c>
      <c r="G33" s="716">
        <f>+IF('Singlet F'!$F72="","",'Singlet F'!$F72)</f>
      </c>
      <c r="H33" s="368" t="str">
        <f>IF('Setup Bm Input'!$F$51="","Error",IF('Singlet E'!$G84="","",IF('Singlet E'!$B84="","",IF('Setup Bm Input'!$F$51="Net",'Singlet E'!$G84,'Singlet E'!$B84))))</f>
        <v>Error</v>
      </c>
      <c r="I33" s="368" t="str">
        <f>IF('Setup Bm Input'!$F$51="","Error",IF('Singlet E'!$H84="","",IF('Singlet E'!$C84="","",IF('Setup Bm Input'!$F$51="Net",'Singlet E'!$H84,'Singlet E'!$C84))))</f>
        <v>Error</v>
      </c>
      <c r="J33" s="368" t="str">
        <f>IF('Setup Bm Input'!$F$51="","Error",IF('Singlet E'!$D84="","",IF('Singlet E'!$I84="","",IF('Setup Bm Input'!$F$51="Net",'Singlet E'!$I84,'Singlet E'!$D84))))</f>
        <v>Error</v>
      </c>
      <c r="K33" s="368" t="str">
        <f>IF('Setup Bm Input'!$F$51="","Error",IF('Singlet E'!$J84="","",IF('Singlet E'!$E84="","",IF('Setup Bm Input'!$F$51="Net",'Singlet E'!$J84,'Singlet E'!$E84))))</f>
        <v>Error</v>
      </c>
      <c r="L33" s="368" t="str">
        <f>IF('Setup Bm Input'!$F$51="","Error",IF('Singlet E'!$K84="","",IF('Singlet E'!$F84="","",IF('Setup Bm Input'!$F$51="Net",'Singlet E'!$K84,'Singlet E'!$F84))))</f>
        <v>Error</v>
      </c>
      <c r="M33" s="493"/>
      <c r="N33" s="493"/>
      <c r="O33" s="323"/>
      <c r="P33" s="65"/>
      <c r="Q33" s="21"/>
      <c r="R33" s="21"/>
      <c r="S33" s="18"/>
      <c r="T33" s="18"/>
      <c r="U33" s="18"/>
      <c r="V33" s="18"/>
    </row>
    <row r="34" spans="1:22" ht="19.5" customHeight="1">
      <c r="A34" s="81"/>
      <c r="B34" s="493"/>
      <c r="C34" s="560" t="s">
        <v>92</v>
      </c>
      <c r="D34" s="511">
        <f>+IF('Setup Bm Input'!$B65="","",'Setup Bm Input'!$B65)</f>
      </c>
      <c r="E34" s="511">
        <f>+IF('Setup Bm Input'!$C65="","",'Setup Bm Input'!$C65)</f>
      </c>
      <c r="F34" s="511">
        <f>+IF('Setup Bm Input'!$E65="","",'Setup Bm Input'!$E65/1000000)</f>
      </c>
      <c r="G34" s="716">
        <f>+IF('Singlet F'!$F73="","",'Singlet F'!$F73)</f>
      </c>
      <c r="H34" s="368" t="str">
        <f>IF('Setup Bm Input'!$F$51="","Error",IF('Singlet E'!$G85="","",IF('Singlet E'!$B85="","",IF('Setup Bm Input'!$F$51="Net",'Singlet E'!$G85,'Singlet E'!$B85))))</f>
        <v>Error</v>
      </c>
      <c r="I34" s="368" t="str">
        <f>IF('Setup Bm Input'!$F$51="","Error",IF('Singlet E'!$H85="","",IF('Singlet E'!$C85="","",IF('Setup Bm Input'!$F$51="Net",'Singlet E'!$H85,'Singlet E'!$C85))))</f>
        <v>Error</v>
      </c>
      <c r="J34" s="368" t="str">
        <f>IF('Setup Bm Input'!$F$51="","Error",IF('Singlet E'!$D85="","",IF('Singlet E'!$I85="","",IF('Setup Bm Input'!$F$51="Net",'Singlet E'!$I85,'Singlet E'!$D85))))</f>
        <v>Error</v>
      </c>
      <c r="K34" s="368" t="str">
        <f>IF('Setup Bm Input'!$F$51="","Error",IF('Singlet E'!$J85="","",IF('Singlet E'!$E85="","",IF('Setup Bm Input'!$F$51="Net",'Singlet E'!$J85,'Singlet E'!$E85))))</f>
        <v>Error</v>
      </c>
      <c r="L34" s="368" t="str">
        <f>IF('Setup Bm Input'!$F$51="","Error",IF('Singlet E'!$K85="","",IF('Singlet E'!$F85="","",IF('Setup Bm Input'!$F$51="Net",'Singlet E'!$K85,'Singlet E'!$F85))))</f>
        <v>Error</v>
      </c>
      <c r="M34" s="493"/>
      <c r="N34" s="493"/>
      <c r="O34" s="83"/>
      <c r="P34" s="65"/>
      <c r="Q34" s="21"/>
      <c r="R34" s="21"/>
      <c r="S34" s="18"/>
      <c r="T34" s="18"/>
      <c r="U34" s="18"/>
      <c r="V34" s="18"/>
    </row>
    <row r="35" spans="1:22" ht="19.5" customHeight="1">
      <c r="A35" s="493"/>
      <c r="B35" s="493"/>
      <c r="C35" s="560" t="s">
        <v>93</v>
      </c>
      <c r="D35" s="511">
        <f>+IF('Setup Bm Input'!$B66="","",'Setup Bm Input'!$B66)</f>
      </c>
      <c r="E35" s="511">
        <f>+IF('Setup Bm Input'!$C66="","",'Setup Bm Input'!$C66)</f>
      </c>
      <c r="F35" s="511">
        <f>+IF('Setup Bm Input'!$E66="","",'Setup Bm Input'!$E66/1000000)</f>
      </c>
      <c r="G35" s="716">
        <f>+IF('Singlet F'!$F74="","",'Singlet F'!$F74)</f>
      </c>
      <c r="H35" s="368" t="str">
        <f>IF('Setup Bm Input'!$F$51="","Error",IF('Singlet E'!$G86="","",IF('Singlet E'!$B86="","",IF('Setup Bm Input'!$F$51="Net",'Singlet E'!$G86,'Singlet E'!$B86))))</f>
        <v>Error</v>
      </c>
      <c r="I35" s="368" t="str">
        <f>IF('Setup Bm Input'!$F$51="","Error",IF('Singlet E'!$H86="","",IF('Singlet E'!$C86="","",IF('Setup Bm Input'!$F$51="Net",'Singlet E'!$H86,'Singlet E'!$C86))))</f>
        <v>Error</v>
      </c>
      <c r="J35" s="368" t="str">
        <f>IF('Setup Bm Input'!$F$51="","Error",IF('Singlet E'!$D86="","",IF('Singlet E'!$I86="","",IF('Setup Bm Input'!$F$51="Net",'Singlet E'!$I86,'Singlet E'!$D86))))</f>
        <v>Error</v>
      </c>
      <c r="K35" s="368" t="str">
        <f>IF('Setup Bm Input'!$F$51="","Error",IF('Singlet E'!$J86="","",IF('Singlet E'!$E86="","",IF('Setup Bm Input'!$F$51="Net",'Singlet E'!$J86,'Singlet E'!$E86))))</f>
        <v>Error</v>
      </c>
      <c r="L35" s="368" t="str">
        <f>IF('Setup Bm Input'!$F$51="","Error",IF('Singlet E'!$K86="","",IF('Singlet E'!$F86="","",IF('Setup Bm Input'!$F$51="Net",'Singlet E'!$K86,'Singlet E'!$F86))))</f>
        <v>Error</v>
      </c>
      <c r="M35" s="493"/>
      <c r="N35" s="493"/>
      <c r="O35" s="493"/>
      <c r="P35" s="65"/>
      <c r="Q35" s="21"/>
      <c r="R35" s="21"/>
      <c r="S35" s="18"/>
      <c r="T35" s="18"/>
      <c r="U35" s="18"/>
      <c r="V35" s="18"/>
    </row>
    <row r="36" spans="1:22" ht="19.5" customHeight="1">
      <c r="A36" s="493"/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65"/>
      <c r="Q36" s="21"/>
      <c r="R36" s="21"/>
      <c r="S36" s="18"/>
      <c r="T36" s="18"/>
      <c r="U36" s="18"/>
      <c r="V36" s="18"/>
    </row>
    <row r="37" spans="1:22" ht="19.5" customHeight="1">
      <c r="A37" s="493"/>
      <c r="B37" s="493"/>
      <c r="C37" s="493"/>
      <c r="D37" s="717" t="s">
        <v>768</v>
      </c>
      <c r="E37" s="493"/>
      <c r="F37" s="493"/>
      <c r="G37" s="711" t="s">
        <v>781</v>
      </c>
      <c r="H37" s="493"/>
      <c r="I37" s="712">
        <f>+'Setup Bm Input'!$B$48-'Setup Bm Input'!$B$50</f>
        <v>0</v>
      </c>
      <c r="J37" s="493"/>
      <c r="K37" s="718" t="s">
        <v>768</v>
      </c>
      <c r="L37" s="493"/>
      <c r="M37" s="493"/>
      <c r="N37" s="493"/>
      <c r="O37" s="493"/>
      <c r="P37" s="65"/>
      <c r="Q37" s="21"/>
      <c r="R37" s="21"/>
      <c r="S37" s="18"/>
      <c r="T37" s="18"/>
      <c r="U37" s="18"/>
      <c r="V37" s="18"/>
    </row>
    <row r="38" spans="1:22" ht="19.5" customHeight="1" thickBot="1">
      <c r="A38" s="493"/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65"/>
      <c r="Q38" s="21"/>
      <c r="R38" s="21"/>
      <c r="S38" s="18"/>
      <c r="T38" s="18"/>
      <c r="U38" s="18"/>
      <c r="V38" s="18"/>
    </row>
    <row r="39" spans="1:22" ht="19.5" customHeight="1" thickBot="1">
      <c r="A39" s="81"/>
      <c r="B39" s="332" t="s">
        <v>115</v>
      </c>
      <c r="C39" s="79" t="s">
        <v>595</v>
      </c>
      <c r="D39" s="329"/>
      <c r="E39" s="363" t="s">
        <v>115</v>
      </c>
      <c r="F39" s="79" t="s">
        <v>596</v>
      </c>
      <c r="G39" s="81"/>
      <c r="H39" s="332" t="s">
        <v>115</v>
      </c>
      <c r="I39" s="79" t="s">
        <v>597</v>
      </c>
      <c r="J39" s="329"/>
      <c r="K39" s="332" t="s">
        <v>115</v>
      </c>
      <c r="L39" s="330" t="s">
        <v>598</v>
      </c>
      <c r="M39" s="493"/>
      <c r="N39" s="332" t="s">
        <v>115</v>
      </c>
      <c r="O39" s="79" t="s">
        <v>599</v>
      </c>
      <c r="P39" s="65"/>
      <c r="Q39" s="21"/>
      <c r="R39" s="21"/>
      <c r="S39" s="18"/>
      <c r="T39" s="18"/>
      <c r="U39" s="18"/>
      <c r="V39" s="18"/>
    </row>
    <row r="40" spans="1:22" ht="19.5" customHeight="1" thickBot="1">
      <c r="A40" s="81"/>
      <c r="B40" s="333"/>
      <c r="C40" s="79" t="str">
        <f>IF('Setup Bm Input'!$F$51="Net","Net El.","Gross El.")</f>
        <v>Gross El.</v>
      </c>
      <c r="D40" s="329"/>
      <c r="E40" s="364"/>
      <c r="F40" s="79" t="str">
        <f>IF('Setup Bm Input'!$F$51="Net","Net El.","Gross El.")</f>
        <v>Gross El.</v>
      </c>
      <c r="G40" s="81"/>
      <c r="H40" s="333"/>
      <c r="I40" s="79" t="str">
        <f>IF('Setup Bm Input'!$F$51="Net","Net El.","Gross El.")</f>
        <v>Gross El.</v>
      </c>
      <c r="J40" s="331"/>
      <c r="K40" s="333"/>
      <c r="L40" s="79" t="str">
        <f>IF('Setup Bm Input'!$F$51="Net","Net El.","Gross El.")</f>
        <v>Gross El.</v>
      </c>
      <c r="M40" s="493"/>
      <c r="N40" s="333"/>
      <c r="O40" s="79" t="str">
        <f>IF('Setup Bm Input'!$F$51="Net","Net El.","Gross El.")</f>
        <v>Gross El.</v>
      </c>
      <c r="P40" s="65"/>
      <c r="Q40" s="21"/>
      <c r="R40" s="21"/>
      <c r="S40" s="18"/>
      <c r="T40" s="18"/>
      <c r="U40" s="18"/>
      <c r="V40" s="18"/>
    </row>
    <row r="41" spans="1:22" ht="19.5" customHeight="1" thickBot="1">
      <c r="A41" s="78">
        <f>IF(B41="","",1)</f>
      </c>
      <c r="B41" s="729"/>
      <c r="C41" s="75"/>
      <c r="D41" s="323">
        <f>IF(E41="","",1)</f>
      </c>
      <c r="E41" s="740"/>
      <c r="F41" s="75"/>
      <c r="G41" s="82">
        <f>IF(H41="","",1)</f>
      </c>
      <c r="H41" s="729"/>
      <c r="I41" s="75"/>
      <c r="J41" s="82">
        <f>IF(K41="","",1)</f>
      </c>
      <c r="K41" s="729"/>
      <c r="L41" s="144"/>
      <c r="M41" s="82">
        <f>IF(N41="","",1)</f>
      </c>
      <c r="N41" s="729"/>
      <c r="O41" s="144"/>
      <c r="P41" s="65"/>
      <c r="Q41" s="21"/>
      <c r="R41" s="21"/>
      <c r="S41" s="18"/>
      <c r="T41" s="18"/>
      <c r="U41" s="18"/>
      <c r="V41" s="18"/>
    </row>
    <row r="42" spans="1:22" ht="19.5" customHeight="1" thickBot="1">
      <c r="A42" s="78">
        <f>IF(B42="","",A41+1)</f>
      </c>
      <c r="B42" s="729"/>
      <c r="C42" s="75"/>
      <c r="D42" s="323">
        <f aca="true" t="shared" si="0" ref="D42:D52">IF(E42="","",D41+1)</f>
      </c>
      <c r="E42" s="740"/>
      <c r="F42" s="75"/>
      <c r="G42" s="82">
        <f>IF(H42="","",G41+1)</f>
      </c>
      <c r="H42" s="729"/>
      <c r="I42" s="75"/>
      <c r="J42" s="82">
        <f>IF(K42="","",J41+1)</f>
      </c>
      <c r="K42" s="729"/>
      <c r="L42" s="144"/>
      <c r="M42" s="82">
        <f>IF(N42="","",M41+1)</f>
      </c>
      <c r="N42" s="729"/>
      <c r="O42" s="144"/>
      <c r="P42" s="65"/>
      <c r="Q42" s="21"/>
      <c r="R42" s="21"/>
      <c r="S42" s="18"/>
      <c r="T42" s="18"/>
      <c r="U42" s="18"/>
      <c r="V42" s="18"/>
    </row>
    <row r="43" spans="1:22" ht="19.5" customHeight="1" thickBot="1">
      <c r="A43" s="78">
        <f aca="true" t="shared" si="1" ref="A43:A52">IF(B43="","",A42+1)</f>
      </c>
      <c r="B43" s="729"/>
      <c r="C43" s="75"/>
      <c r="D43" s="323">
        <f t="shared" si="0"/>
      </c>
      <c r="E43" s="740"/>
      <c r="F43" s="75"/>
      <c r="G43" s="82">
        <f aca="true" t="shared" si="2" ref="G43:G48">IF(H43="","",G42+1)</f>
      </c>
      <c r="H43" s="729"/>
      <c r="I43" s="75"/>
      <c r="J43" s="82">
        <f>IF(K43="","",J42+1)</f>
      </c>
      <c r="K43" s="729"/>
      <c r="L43" s="144"/>
      <c r="M43" s="82">
        <f>IF(N43="","",M42+1)</f>
      </c>
      <c r="N43" s="729"/>
      <c r="O43" s="144"/>
      <c r="P43" s="65"/>
      <c r="Q43" s="21"/>
      <c r="R43" s="21"/>
      <c r="S43" s="18"/>
      <c r="T43" s="18"/>
      <c r="U43" s="18"/>
      <c r="V43" s="18"/>
    </row>
    <row r="44" spans="1:22" ht="19.5" customHeight="1" thickBot="1">
      <c r="A44" s="78">
        <f t="shared" si="1"/>
      </c>
      <c r="B44" s="729"/>
      <c r="C44" s="75"/>
      <c r="D44" s="323">
        <f t="shared" si="0"/>
      </c>
      <c r="E44" s="740"/>
      <c r="F44" s="75"/>
      <c r="G44" s="82">
        <f t="shared" si="2"/>
      </c>
      <c r="H44" s="729"/>
      <c r="I44" s="75"/>
      <c r="J44" s="82">
        <f>IF(K44="","",J43+1)</f>
      </c>
      <c r="K44" s="729"/>
      <c r="L44" s="144"/>
      <c r="M44" s="82">
        <f>IF(N44="","",M43+1)</f>
      </c>
      <c r="N44" s="729"/>
      <c r="O44" s="144"/>
      <c r="P44" s="65"/>
      <c r="Q44" s="21"/>
      <c r="R44" s="21"/>
      <c r="S44" s="18"/>
      <c r="T44" s="18"/>
      <c r="U44" s="18"/>
      <c r="V44" s="18"/>
    </row>
    <row r="45" spans="1:22" ht="19.5" customHeight="1" thickBot="1">
      <c r="A45" s="78">
        <f t="shared" si="1"/>
      </c>
      <c r="B45" s="729"/>
      <c r="C45" s="75"/>
      <c r="D45" s="323">
        <f t="shared" si="0"/>
      </c>
      <c r="E45" s="740"/>
      <c r="F45" s="75"/>
      <c r="G45" s="82">
        <f t="shared" si="2"/>
      </c>
      <c r="H45" s="729"/>
      <c r="I45" s="75"/>
      <c r="J45" s="82">
        <f>IF(K45="","",J44+1)</f>
      </c>
      <c r="K45" s="729"/>
      <c r="L45" s="144"/>
      <c r="M45" s="493"/>
      <c r="N45" s="493"/>
      <c r="O45" s="493"/>
      <c r="P45" s="65"/>
      <c r="Q45" s="21"/>
      <c r="R45" s="21"/>
      <c r="S45" s="18"/>
      <c r="T45" s="18"/>
      <c r="U45" s="18"/>
      <c r="V45" s="18"/>
    </row>
    <row r="46" spans="1:22" ht="19.5" customHeight="1" thickBot="1">
      <c r="A46" s="78">
        <f t="shared" si="1"/>
      </c>
      <c r="B46" s="729"/>
      <c r="C46" s="75"/>
      <c r="D46" s="323">
        <f t="shared" si="0"/>
      </c>
      <c r="E46" s="740"/>
      <c r="F46" s="75"/>
      <c r="G46" s="82">
        <f t="shared" si="2"/>
      </c>
      <c r="H46" s="729"/>
      <c r="I46" s="75"/>
      <c r="J46" s="82">
        <f>IF(K46="","",J45+1)</f>
      </c>
      <c r="K46" s="729"/>
      <c r="L46" s="144"/>
      <c r="M46" s="493"/>
      <c r="N46" s="493"/>
      <c r="O46" s="493"/>
      <c r="P46" s="65"/>
      <c r="Q46" s="21"/>
      <c r="R46" s="21"/>
      <c r="S46" s="18"/>
      <c r="T46" s="18"/>
      <c r="U46" s="18"/>
      <c r="V46" s="18"/>
    </row>
    <row r="47" spans="1:22" ht="19.5" customHeight="1" thickBot="1">
      <c r="A47" s="78">
        <f t="shared" si="1"/>
      </c>
      <c r="B47" s="729"/>
      <c r="C47" s="75"/>
      <c r="D47" s="323">
        <f t="shared" si="0"/>
      </c>
      <c r="E47" s="740"/>
      <c r="F47" s="75"/>
      <c r="G47" s="82">
        <f t="shared" si="2"/>
      </c>
      <c r="H47" s="729"/>
      <c r="I47" s="75"/>
      <c r="J47" s="493"/>
      <c r="K47" s="493"/>
      <c r="L47" s="493"/>
      <c r="M47" s="493"/>
      <c r="N47" s="493"/>
      <c r="O47" s="493"/>
      <c r="P47" s="65"/>
      <c r="Q47" s="21"/>
      <c r="R47" s="21"/>
      <c r="S47" s="18"/>
      <c r="T47" s="18"/>
      <c r="U47" s="18"/>
      <c r="V47" s="18"/>
    </row>
    <row r="48" spans="1:22" ht="19.5" customHeight="1" thickBot="1">
      <c r="A48" s="78">
        <f t="shared" si="1"/>
      </c>
      <c r="B48" s="729"/>
      <c r="C48" s="75"/>
      <c r="D48" s="323">
        <f t="shared" si="0"/>
      </c>
      <c r="E48" s="740"/>
      <c r="F48" s="75"/>
      <c r="G48" s="82">
        <f t="shared" si="2"/>
      </c>
      <c r="H48" s="729"/>
      <c r="I48" s="75"/>
      <c r="J48" s="493"/>
      <c r="K48" s="493"/>
      <c r="L48" s="493"/>
      <c r="M48" s="493"/>
      <c r="N48" s="493"/>
      <c r="O48" s="493"/>
      <c r="P48" s="65"/>
      <c r="Q48" s="21"/>
      <c r="R48" s="21"/>
      <c r="S48" s="18"/>
      <c r="T48" s="18"/>
      <c r="U48" s="18"/>
      <c r="V48" s="18"/>
    </row>
    <row r="49" spans="1:22" ht="19.5" customHeight="1" thickBot="1">
      <c r="A49" s="78">
        <f t="shared" si="1"/>
      </c>
      <c r="B49" s="729"/>
      <c r="C49" s="75"/>
      <c r="D49" s="323">
        <f t="shared" si="0"/>
      </c>
      <c r="E49" s="740"/>
      <c r="F49" s="75"/>
      <c r="G49" s="493"/>
      <c r="H49" s="493"/>
      <c r="I49" s="493"/>
      <c r="J49" s="493"/>
      <c r="K49" s="493"/>
      <c r="L49" s="493"/>
      <c r="M49" s="493"/>
      <c r="N49" s="493"/>
      <c r="O49" s="493"/>
      <c r="P49" s="65"/>
      <c r="Q49" s="21"/>
      <c r="R49" s="21"/>
      <c r="S49" s="18"/>
      <c r="T49" s="18"/>
      <c r="U49" s="18"/>
      <c r="V49" s="18"/>
    </row>
    <row r="50" spans="1:22" ht="19.5" customHeight="1" thickBot="1">
      <c r="A50" s="78">
        <f t="shared" si="1"/>
      </c>
      <c r="B50" s="729"/>
      <c r="C50" s="75"/>
      <c r="D50" s="323">
        <f t="shared" si="0"/>
      </c>
      <c r="E50" s="740"/>
      <c r="F50" s="75"/>
      <c r="G50" s="493"/>
      <c r="H50" s="332" t="s">
        <v>115</v>
      </c>
      <c r="I50" s="79" t="s">
        <v>749</v>
      </c>
      <c r="J50" s="329"/>
      <c r="K50" s="332" t="s">
        <v>115</v>
      </c>
      <c r="L50" s="330" t="s">
        <v>750</v>
      </c>
      <c r="M50" s="493"/>
      <c r="N50" s="332" t="s">
        <v>115</v>
      </c>
      <c r="O50" s="79" t="s">
        <v>751</v>
      </c>
      <c r="P50" s="65"/>
      <c r="Q50" s="21"/>
      <c r="R50" s="21"/>
      <c r="S50" s="18"/>
      <c r="T50" s="18"/>
      <c r="U50" s="18"/>
      <c r="V50" s="18"/>
    </row>
    <row r="51" spans="1:22" ht="19.5" customHeight="1" thickBot="1">
      <c r="A51" s="78">
        <f t="shared" si="1"/>
      </c>
      <c r="B51" s="729"/>
      <c r="C51" s="75"/>
      <c r="D51" s="323">
        <f t="shared" si="0"/>
      </c>
      <c r="E51" s="740"/>
      <c r="F51" s="75"/>
      <c r="G51" s="493"/>
      <c r="H51" s="333"/>
      <c r="I51" s="79" t="str">
        <f>IF('Setup Bm Input'!$F$51="Net","Net El.","Gross El.")</f>
        <v>Gross El.</v>
      </c>
      <c r="J51" s="329"/>
      <c r="K51" s="333"/>
      <c r="L51" s="79" t="str">
        <f>IF('Setup Bm Input'!$F$51="Net","Net El.","Gross El.")</f>
        <v>Gross El.</v>
      </c>
      <c r="M51" s="493"/>
      <c r="N51" s="333"/>
      <c r="O51" s="79" t="str">
        <f>IF('Setup Bm Input'!$F$51="Net","Net El.","Gross El.")</f>
        <v>Gross El.</v>
      </c>
      <c r="P51" s="65"/>
      <c r="Q51" s="21"/>
      <c r="R51" s="21"/>
      <c r="S51" s="18"/>
      <c r="T51" s="18"/>
      <c r="U51" s="18"/>
      <c r="V51" s="18"/>
    </row>
    <row r="52" spans="1:22" ht="19.5" customHeight="1" thickBot="1">
      <c r="A52" s="78">
        <f t="shared" si="1"/>
      </c>
      <c r="B52" s="729"/>
      <c r="C52" s="328"/>
      <c r="D52" s="323">
        <f t="shared" si="0"/>
      </c>
      <c r="E52" s="740"/>
      <c r="F52" s="328"/>
      <c r="G52" s="82">
        <f>IF(H52="","",1)</f>
      </c>
      <c r="H52" s="729"/>
      <c r="I52" s="75"/>
      <c r="J52" s="82">
        <f>IF(K52="","",1)</f>
      </c>
      <c r="K52" s="729"/>
      <c r="L52" s="144"/>
      <c r="M52" s="82">
        <f>IF(N52="","",1)</f>
      </c>
      <c r="N52" s="729"/>
      <c r="O52" s="144"/>
      <c r="P52" s="65"/>
      <c r="Q52" s="21"/>
      <c r="R52" s="21"/>
      <c r="S52" s="18"/>
      <c r="T52" s="18"/>
      <c r="U52" s="18"/>
      <c r="V52" s="18"/>
    </row>
    <row r="53" spans="1:22" ht="19.5" customHeight="1" thickBot="1">
      <c r="A53" s="323"/>
      <c r="B53" s="327"/>
      <c r="C53" s="329"/>
      <c r="D53" s="323"/>
      <c r="E53" s="327"/>
      <c r="F53" s="329"/>
      <c r="G53" s="82">
        <f>IF(H53="","",G52+1)</f>
      </c>
      <c r="H53" s="729"/>
      <c r="I53" s="75"/>
      <c r="J53" s="82">
        <f>IF(K53="","",J52+1)</f>
      </c>
      <c r="K53" s="729"/>
      <c r="L53" s="144"/>
      <c r="M53" s="82">
        <f>IF(N53="","",M52+1)</f>
      </c>
      <c r="N53" s="729"/>
      <c r="O53" s="144"/>
      <c r="P53" s="65"/>
      <c r="Q53" s="21"/>
      <c r="R53" s="21"/>
      <c r="S53" s="18"/>
      <c r="T53" s="18"/>
      <c r="U53" s="18"/>
      <c r="V53" s="18"/>
    </row>
    <row r="54" spans="1:22" ht="19.5" customHeight="1">
      <c r="A54" s="493"/>
      <c r="B54" s="347" t="s">
        <v>756</v>
      </c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65"/>
      <c r="Q54" s="21"/>
      <c r="R54" s="21"/>
      <c r="S54" s="18"/>
      <c r="T54" s="18"/>
      <c r="U54" s="18"/>
      <c r="V54" s="18"/>
    </row>
    <row r="55" spans="1:22" ht="19.5" customHeight="1">
      <c r="A55" s="493"/>
      <c r="B55" s="493"/>
      <c r="C55" s="329"/>
      <c r="D55" s="329"/>
      <c r="E55" s="32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65"/>
      <c r="Q55" s="21"/>
      <c r="R55" s="21"/>
      <c r="S55" s="18"/>
      <c r="T55" s="18"/>
      <c r="U55" s="18"/>
      <c r="V55" s="18"/>
    </row>
    <row r="56" spans="1:22" ht="19.5" customHeight="1">
      <c r="A56" s="493"/>
      <c r="B56" s="493"/>
      <c r="C56" s="493"/>
      <c r="D56" s="717" t="s">
        <v>767</v>
      </c>
      <c r="E56" s="493"/>
      <c r="F56" s="493"/>
      <c r="G56" s="711" t="s">
        <v>782</v>
      </c>
      <c r="H56" s="493"/>
      <c r="I56" s="712">
        <f>+'Setup Bm Input'!$B$50</f>
        <v>0</v>
      </c>
      <c r="J56" s="493"/>
      <c r="K56" s="718" t="s">
        <v>767</v>
      </c>
      <c r="L56" s="493"/>
      <c r="M56" s="493"/>
      <c r="N56" s="493"/>
      <c r="O56" s="493"/>
      <c r="P56" s="65"/>
      <c r="Q56" s="21"/>
      <c r="R56" s="21"/>
      <c r="S56" s="18"/>
      <c r="T56" s="18"/>
      <c r="U56" s="18"/>
      <c r="V56" s="18"/>
    </row>
    <row r="57" spans="1:22" ht="19.5" customHeight="1" thickBot="1">
      <c r="A57" s="493"/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65"/>
      <c r="Q57" s="21"/>
      <c r="R57" s="21"/>
      <c r="S57" s="18"/>
      <c r="T57" s="18"/>
      <c r="U57" s="18"/>
      <c r="V57" s="18"/>
    </row>
    <row r="58" spans="1:22" ht="19.5" customHeight="1" thickBot="1">
      <c r="A58" s="493"/>
      <c r="B58" s="332" t="s">
        <v>115</v>
      </c>
      <c r="C58" s="79" t="s">
        <v>759</v>
      </c>
      <c r="D58" s="329"/>
      <c r="E58" s="332" t="s">
        <v>115</v>
      </c>
      <c r="F58" s="330" t="s">
        <v>760</v>
      </c>
      <c r="G58" s="493"/>
      <c r="H58" s="332" t="s">
        <v>115</v>
      </c>
      <c r="I58" s="79" t="s">
        <v>761</v>
      </c>
      <c r="J58" s="493"/>
      <c r="K58" s="332" t="s">
        <v>115</v>
      </c>
      <c r="L58" s="79" t="s">
        <v>762</v>
      </c>
      <c r="M58" s="81"/>
      <c r="N58" s="332" t="s">
        <v>115</v>
      </c>
      <c r="O58" s="79" t="s">
        <v>763</v>
      </c>
      <c r="P58" s="65"/>
      <c r="Q58" s="21"/>
      <c r="R58" s="21"/>
      <c r="S58" s="18"/>
      <c r="T58" s="18"/>
      <c r="U58" s="18"/>
      <c r="V58" s="18"/>
    </row>
    <row r="59" spans="1:22" ht="19.5" customHeight="1" thickBot="1">
      <c r="A59" s="493"/>
      <c r="B59" s="333"/>
      <c r="C59" s="79" t="str">
        <f>IF('Setup Bm Input'!$F$51="Net","Net El.","Gross El.")</f>
        <v>Gross El.</v>
      </c>
      <c r="D59" s="329"/>
      <c r="E59" s="333"/>
      <c r="F59" s="79" t="str">
        <f>IF('Setup Bm Input'!$F$51="Net","Net El.","Gross El.")</f>
        <v>Gross El.</v>
      </c>
      <c r="G59" s="493"/>
      <c r="H59" s="333"/>
      <c r="I59" s="79" t="str">
        <f>IF('Setup Bm Input'!$F$51="Net","Net El.","Gross El.")</f>
        <v>Gross El.</v>
      </c>
      <c r="J59" s="493"/>
      <c r="K59" s="333"/>
      <c r="L59" s="79" t="str">
        <f>IF('Setup Bm Input'!$F$51="Net","Net El.","Gross El.")</f>
        <v>Gross El.</v>
      </c>
      <c r="M59" s="81"/>
      <c r="N59" s="333"/>
      <c r="O59" s="79" t="str">
        <f>IF('Setup Bm Input'!$F$51="Net","Net El.","Gross El.")</f>
        <v>Gross El.</v>
      </c>
      <c r="P59" s="65"/>
      <c r="Q59" s="21"/>
      <c r="R59" s="21"/>
      <c r="S59" s="18"/>
      <c r="T59" s="18"/>
      <c r="U59" s="18"/>
      <c r="V59" s="18"/>
    </row>
    <row r="60" spans="1:22" ht="19.5" customHeight="1" thickBot="1">
      <c r="A60" s="82">
        <f>IF(B60="","",1)</f>
      </c>
      <c r="B60" s="729"/>
      <c r="C60" s="75"/>
      <c r="D60" s="82">
        <f>IF(E60="","",1)</f>
      </c>
      <c r="E60" s="729"/>
      <c r="F60" s="144"/>
      <c r="G60" s="82">
        <f>IF(H60="","",1)</f>
      </c>
      <c r="H60" s="729"/>
      <c r="I60" s="144"/>
      <c r="J60" s="82">
        <f>IF(K60="","",1)</f>
      </c>
      <c r="K60" s="729"/>
      <c r="L60" s="144"/>
      <c r="M60" s="82">
        <f>IF(N60="","",1)</f>
      </c>
      <c r="N60" s="729"/>
      <c r="O60" s="75"/>
      <c r="P60" s="65"/>
      <c r="Q60" s="21"/>
      <c r="R60" s="21"/>
      <c r="S60" s="18"/>
      <c r="T60" s="18"/>
      <c r="U60" s="18"/>
      <c r="V60" s="18"/>
    </row>
    <row r="61" spans="1:22" ht="19.5" customHeight="1" thickBot="1">
      <c r="A61" s="82">
        <f>IF(B61="","",A60+1)</f>
      </c>
      <c r="B61" s="729"/>
      <c r="C61" s="75"/>
      <c r="D61" s="82">
        <f>IF(E61="","",D60+1)</f>
      </c>
      <c r="E61" s="729"/>
      <c r="F61" s="144"/>
      <c r="G61" s="82">
        <f>IF(H61="","",G60+1)</f>
      </c>
      <c r="H61" s="729"/>
      <c r="I61" s="144"/>
      <c r="J61" s="82">
        <f>IF(K61="","",J60+1)</f>
      </c>
      <c r="K61" s="729"/>
      <c r="L61" s="144"/>
      <c r="M61" s="82">
        <f>IF(N61="","",M60+1)</f>
      </c>
      <c r="N61" s="729"/>
      <c r="O61" s="75"/>
      <c r="P61" s="65"/>
      <c r="Q61" s="21"/>
      <c r="R61" s="21"/>
      <c r="S61" s="18"/>
      <c r="T61" s="18"/>
      <c r="U61" s="18"/>
      <c r="V61" s="18"/>
    </row>
    <row r="62" spans="1:22" ht="19.5" customHeight="1" thickBot="1">
      <c r="A62" s="493"/>
      <c r="B62" s="493"/>
      <c r="C62" s="493"/>
      <c r="D62" s="493"/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65"/>
      <c r="Q62" s="21"/>
      <c r="R62" s="21"/>
      <c r="S62" s="18"/>
      <c r="T62" s="18"/>
      <c r="U62" s="18"/>
      <c r="V62" s="18"/>
    </row>
    <row r="63" spans="1:22" ht="19.5" customHeight="1" thickBot="1">
      <c r="A63" s="329"/>
      <c r="B63" s="332" t="s">
        <v>115</v>
      </c>
      <c r="C63" s="79" t="s">
        <v>764</v>
      </c>
      <c r="D63" s="329"/>
      <c r="E63" s="332" t="s">
        <v>115</v>
      </c>
      <c r="F63" s="330" t="s">
        <v>765</v>
      </c>
      <c r="G63" s="493"/>
      <c r="H63" s="332" t="s">
        <v>115</v>
      </c>
      <c r="I63" s="79" t="s">
        <v>766</v>
      </c>
      <c r="J63" s="493"/>
      <c r="L63" s="986" t="s">
        <v>815</v>
      </c>
      <c r="M63" s="329"/>
      <c r="N63" s="329"/>
      <c r="O63" s="329"/>
      <c r="P63" s="65"/>
      <c r="Q63" s="21"/>
      <c r="R63" s="21"/>
      <c r="S63" s="18"/>
      <c r="T63" s="18"/>
      <c r="U63" s="18"/>
      <c r="V63" s="18"/>
    </row>
    <row r="64" spans="1:22" ht="19.5" customHeight="1" thickBot="1">
      <c r="A64" s="329"/>
      <c r="B64" s="333"/>
      <c r="C64" s="79" t="str">
        <f>IF('Setup Bm Input'!$F$51="Net","Net El.","Gross El.")</f>
        <v>Gross El.</v>
      </c>
      <c r="D64" s="329"/>
      <c r="E64" s="333"/>
      <c r="F64" s="79" t="str">
        <f>IF('Setup Bm Input'!$F$51="Net","Net El.","Gross El.")</f>
        <v>Gross El.</v>
      </c>
      <c r="G64" s="493"/>
      <c r="H64" s="333"/>
      <c r="I64" s="79" t="str">
        <f>IF('Setup Bm Input'!$F$51="Net","Net El.","Gross El.")</f>
        <v>Gross El.</v>
      </c>
      <c r="J64" s="493"/>
      <c r="L64" s="987" t="s">
        <v>816</v>
      </c>
      <c r="M64" s="329"/>
      <c r="N64" s="493"/>
      <c r="O64" s="329"/>
      <c r="P64" s="65"/>
      <c r="Q64" s="21"/>
      <c r="R64" s="21"/>
      <c r="S64" s="18"/>
      <c r="T64" s="18"/>
      <c r="U64" s="18"/>
      <c r="V64" s="18"/>
    </row>
    <row r="65" spans="1:22" ht="19.5" customHeight="1" thickBot="1">
      <c r="A65" s="82">
        <f>IF(B65="","",1)</f>
      </c>
      <c r="B65" s="729"/>
      <c r="C65" s="75"/>
      <c r="D65" s="82">
        <f>IF(E65="","",1)</f>
      </c>
      <c r="E65" s="729"/>
      <c r="F65" s="144"/>
      <c r="G65" s="82">
        <f>IF(H65="","",1)</f>
      </c>
      <c r="H65" s="729"/>
      <c r="I65" s="144"/>
      <c r="J65" s="493"/>
      <c r="L65" s="987" t="s">
        <v>817</v>
      </c>
      <c r="M65" s="335"/>
      <c r="N65" s="493"/>
      <c r="O65" s="327"/>
      <c r="P65" s="65"/>
      <c r="Q65" s="21"/>
      <c r="R65" s="21"/>
      <c r="S65" s="18"/>
      <c r="T65" s="18"/>
      <c r="U65" s="18"/>
      <c r="V65" s="18"/>
    </row>
    <row r="66" spans="1:22" ht="19.5" customHeight="1" thickBot="1">
      <c r="A66" s="82">
        <f>IF(B66="","",A65+1)</f>
      </c>
      <c r="B66" s="729"/>
      <c r="C66" s="75"/>
      <c r="D66" s="82">
        <f>IF(E66="","",D65+1)</f>
      </c>
      <c r="E66" s="729"/>
      <c r="F66" s="144"/>
      <c r="G66" s="82">
        <f>IF(H66="","",G65+1)</f>
      </c>
      <c r="H66" s="729"/>
      <c r="I66" s="144"/>
      <c r="J66" s="493"/>
      <c r="L66" s="988" t="s">
        <v>820</v>
      </c>
      <c r="M66" s="335"/>
      <c r="N66" s="493"/>
      <c r="O66" s="327"/>
      <c r="P66" s="65"/>
      <c r="Q66" s="21"/>
      <c r="R66" s="21"/>
      <c r="S66" s="18"/>
      <c r="T66" s="18"/>
      <c r="U66" s="18"/>
      <c r="V66" s="18"/>
    </row>
    <row r="67" spans="1:22" ht="19.5" customHeight="1" thickBot="1">
      <c r="A67" s="82"/>
      <c r="B67" s="545"/>
      <c r="C67" s="545"/>
      <c r="D67" s="545"/>
      <c r="E67" s="545"/>
      <c r="F67" s="329"/>
      <c r="G67" s="329"/>
      <c r="H67" s="329"/>
      <c r="I67" s="329"/>
      <c r="J67" s="131"/>
      <c r="L67" s="991" t="str">
        <f>+IF('Setup Bm Input'!B46="","No Input",'Setup Bm Input'!B46)</f>
        <v>No Input</v>
      </c>
      <c r="M67" s="131"/>
      <c r="N67" s="345"/>
      <c r="O67" s="70"/>
      <c r="P67" s="65"/>
      <c r="Q67" s="21"/>
      <c r="R67" s="21"/>
      <c r="S67" s="18"/>
      <c r="T67" s="18"/>
      <c r="U67" s="18"/>
      <c r="V67" s="18"/>
    </row>
    <row r="68" spans="1:22" ht="19.5" customHeight="1">
      <c r="A68" s="82"/>
      <c r="B68" s="347" t="s">
        <v>758</v>
      </c>
      <c r="C68" s="493"/>
      <c r="D68" s="329"/>
      <c r="E68" s="329"/>
      <c r="F68" s="329"/>
      <c r="G68" s="327"/>
      <c r="H68" s="720"/>
      <c r="I68" s="720"/>
      <c r="J68" s="545"/>
      <c r="K68" s="493"/>
      <c r="L68" s="493"/>
      <c r="M68" s="493"/>
      <c r="N68" s="493"/>
      <c r="O68" s="493"/>
      <c r="P68" s="65"/>
      <c r="Q68" s="21"/>
      <c r="R68" s="21"/>
      <c r="S68" s="18"/>
      <c r="T68" s="18"/>
      <c r="U68" s="18"/>
      <c r="V68" s="18"/>
    </row>
    <row r="69" spans="1:22" ht="19.5" customHeight="1">
      <c r="A69" s="545"/>
      <c r="B69" s="493"/>
      <c r="C69" s="493"/>
      <c r="D69" s="493"/>
      <c r="E69" s="493"/>
      <c r="F69" s="493"/>
      <c r="G69" s="493"/>
      <c r="H69" s="493"/>
      <c r="I69" s="493"/>
      <c r="J69" s="493"/>
      <c r="K69" s="493"/>
      <c r="L69" s="493"/>
      <c r="M69" s="493"/>
      <c r="N69" s="493"/>
      <c r="O69" s="493"/>
      <c r="P69" s="65"/>
      <c r="Q69" s="21"/>
      <c r="R69" s="21"/>
      <c r="S69" s="18"/>
      <c r="T69" s="18"/>
      <c r="U69" s="18"/>
      <c r="V69" s="18"/>
    </row>
    <row r="70" spans="1:22" ht="19.5" customHeight="1">
      <c r="A70" s="78">
        <f>IF(B73="","",#REF!+1)</f>
      </c>
      <c r="B70" s="493"/>
      <c r="C70" s="493"/>
      <c r="D70" s="588"/>
      <c r="E70" s="588"/>
      <c r="F70" s="588"/>
      <c r="G70" s="721" t="s">
        <v>695</v>
      </c>
      <c r="H70" s="588"/>
      <c r="I70" s="588"/>
      <c r="J70" s="588"/>
      <c r="K70" s="588"/>
      <c r="L70" s="493"/>
      <c r="M70" s="722"/>
      <c r="N70" s="720"/>
      <c r="O70" s="493"/>
      <c r="P70" s="65"/>
      <c r="Q70" s="21"/>
      <c r="R70" s="21"/>
      <c r="S70" s="18"/>
      <c r="T70" s="18"/>
      <c r="U70" s="18"/>
      <c r="V70" s="18"/>
    </row>
    <row r="71" spans="1:22" ht="19.5" customHeight="1">
      <c r="A71" s="78">
        <f>IF(B74="","",A70+1)</f>
      </c>
      <c r="B71" s="493"/>
      <c r="C71" s="493"/>
      <c r="D71" s="588"/>
      <c r="E71" s="588"/>
      <c r="F71" s="588"/>
      <c r="G71" s="588"/>
      <c r="H71" s="588"/>
      <c r="I71" s="588"/>
      <c r="J71" s="588"/>
      <c r="K71" s="588"/>
      <c r="L71" s="493"/>
      <c r="M71" s="722"/>
      <c r="N71" s="720"/>
      <c r="O71" s="493"/>
      <c r="P71" s="65"/>
      <c r="Q71" s="21"/>
      <c r="R71" s="21"/>
      <c r="S71" s="18"/>
      <c r="T71" s="18"/>
      <c r="U71" s="18"/>
      <c r="V71" s="18"/>
    </row>
    <row r="72" spans="1:22" ht="19.5" customHeight="1">
      <c r="A72" s="493"/>
      <c r="B72" s="493"/>
      <c r="C72" s="493"/>
      <c r="D72" s="723" t="s">
        <v>696</v>
      </c>
      <c r="E72" s="724"/>
      <c r="F72" s="725" t="s">
        <v>697</v>
      </c>
      <c r="G72" s="725"/>
      <c r="H72" s="724"/>
      <c r="I72" s="725" t="s">
        <v>698</v>
      </c>
      <c r="J72" s="725"/>
      <c r="K72" s="726"/>
      <c r="L72" s="493"/>
      <c r="M72" s="493"/>
      <c r="N72" s="493"/>
      <c r="O72" s="493"/>
      <c r="P72" s="65"/>
      <c r="Q72" s="21"/>
      <c r="R72" s="21"/>
      <c r="S72" s="18"/>
      <c r="T72" s="18"/>
      <c r="U72" s="18"/>
      <c r="V72" s="18"/>
    </row>
    <row r="73" spans="1:22" ht="19.5" customHeight="1">
      <c r="A73" s="493"/>
      <c r="B73" s="327"/>
      <c r="C73" s="493"/>
      <c r="D73" s="730"/>
      <c r="E73" s="731"/>
      <c r="F73" s="732"/>
      <c r="G73" s="732"/>
      <c r="H73" s="731"/>
      <c r="I73" s="733"/>
      <c r="J73" s="733"/>
      <c r="K73" s="734"/>
      <c r="L73" s="493"/>
      <c r="M73" s="493"/>
      <c r="N73" s="493"/>
      <c r="O73" s="493"/>
      <c r="P73" s="65"/>
      <c r="Q73" s="21"/>
      <c r="R73" s="21"/>
      <c r="S73" s="18"/>
      <c r="T73" s="18"/>
      <c r="U73" s="18"/>
      <c r="V73" s="18"/>
    </row>
    <row r="74" spans="1:22" ht="19.5" customHeight="1">
      <c r="A74" s="493"/>
      <c r="B74" s="327"/>
      <c r="C74" s="493"/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  <c r="P74" s="65"/>
      <c r="Q74" s="21"/>
      <c r="R74" s="21"/>
      <c r="S74" s="18"/>
      <c r="T74" s="18"/>
      <c r="U74" s="18"/>
      <c r="V74" s="18"/>
    </row>
    <row r="75" spans="1:22" ht="19.5" customHeight="1">
      <c r="A75" s="493"/>
      <c r="B75" s="493"/>
      <c r="C75" s="493"/>
      <c r="D75" s="81" t="s">
        <v>577</v>
      </c>
      <c r="E75" s="87"/>
      <c r="F75" s="87"/>
      <c r="G75" s="87"/>
      <c r="H75" s="87"/>
      <c r="I75" s="87"/>
      <c r="J75" s="87"/>
      <c r="K75" s="87"/>
      <c r="L75" s="87"/>
      <c r="M75" s="493"/>
      <c r="N75" s="493"/>
      <c r="O75" s="493"/>
      <c r="P75" s="65"/>
      <c r="Q75" s="21"/>
      <c r="R75" s="21"/>
      <c r="S75" s="18"/>
      <c r="T75" s="18"/>
      <c r="U75" s="18"/>
      <c r="V75" s="18"/>
    </row>
    <row r="76" spans="1:22" ht="12.75">
      <c r="A76" s="493"/>
      <c r="B76" s="493"/>
      <c r="C76" s="493"/>
      <c r="D76" s="84"/>
      <c r="E76" s="84"/>
      <c r="F76" s="84"/>
      <c r="G76" s="84"/>
      <c r="H76" s="84"/>
      <c r="I76" s="84"/>
      <c r="J76" s="84"/>
      <c r="K76" s="84"/>
      <c r="L76" s="84"/>
      <c r="M76" s="493"/>
      <c r="N76" s="493"/>
      <c r="O76" s="493"/>
      <c r="P76" s="65"/>
      <c r="Q76" s="21"/>
      <c r="R76" s="21"/>
      <c r="S76" s="18"/>
      <c r="T76" s="18"/>
      <c r="U76" s="18"/>
      <c r="V76" s="18"/>
    </row>
    <row r="77" spans="1:22" ht="12.75">
      <c r="A77" s="493"/>
      <c r="B77" s="493"/>
      <c r="C77" s="493"/>
      <c r="D77" s="87"/>
      <c r="E77" s="87"/>
      <c r="F77" s="87"/>
      <c r="G77" s="87"/>
      <c r="H77" s="87"/>
      <c r="I77" s="87"/>
      <c r="J77" s="87"/>
      <c r="K77" s="87"/>
      <c r="L77" s="87"/>
      <c r="M77" s="493"/>
      <c r="N77" s="493"/>
      <c r="O77" s="493"/>
      <c r="P77" s="65"/>
      <c r="Q77" s="21"/>
      <c r="R77" s="21"/>
      <c r="S77" s="18"/>
      <c r="T77" s="18"/>
      <c r="U77" s="18"/>
      <c r="V77" s="18"/>
    </row>
    <row r="78" spans="1:22" ht="12.75">
      <c r="A78" s="493"/>
      <c r="B78" s="493"/>
      <c r="C78" s="493"/>
      <c r="D78" s="735"/>
      <c r="E78" s="735"/>
      <c r="F78" s="735"/>
      <c r="G78" s="735"/>
      <c r="H78" s="735"/>
      <c r="I78" s="735"/>
      <c r="J78" s="735"/>
      <c r="K78" s="735"/>
      <c r="L78" s="735"/>
      <c r="M78" s="493"/>
      <c r="N78" s="493"/>
      <c r="O78" s="493"/>
      <c r="P78" s="65"/>
      <c r="Q78" s="21"/>
      <c r="R78" s="21"/>
      <c r="S78" s="18"/>
      <c r="T78" s="18"/>
      <c r="U78" s="18"/>
      <c r="V78" s="18"/>
    </row>
    <row r="79" spans="1:22" ht="12.75">
      <c r="A79" s="493"/>
      <c r="B79" s="493"/>
      <c r="C79" s="493"/>
      <c r="D79" s="87"/>
      <c r="E79" s="87"/>
      <c r="F79" s="87"/>
      <c r="G79" s="87"/>
      <c r="H79" s="87"/>
      <c r="I79" s="87"/>
      <c r="J79" s="87"/>
      <c r="K79" s="87"/>
      <c r="L79" s="87"/>
      <c r="M79" s="493"/>
      <c r="N79" s="493"/>
      <c r="O79" s="493"/>
      <c r="P79" s="65"/>
      <c r="Q79" s="21"/>
      <c r="R79" s="21"/>
      <c r="S79" s="18"/>
      <c r="T79" s="18"/>
      <c r="U79" s="18"/>
      <c r="V79" s="18"/>
    </row>
    <row r="80" spans="1:22" ht="12.75">
      <c r="A80" s="494"/>
      <c r="B80" s="493"/>
      <c r="C80" s="493"/>
      <c r="D80" s="493"/>
      <c r="E80" s="493"/>
      <c r="F80" s="493"/>
      <c r="G80" s="493"/>
      <c r="H80" s="493"/>
      <c r="I80" s="493"/>
      <c r="J80" s="493"/>
      <c r="K80" s="493"/>
      <c r="L80" s="493"/>
      <c r="M80" s="493"/>
      <c r="N80" s="493"/>
      <c r="O80" s="493"/>
      <c r="P80" s="65"/>
      <c r="Q80" s="21"/>
      <c r="R80" s="21"/>
      <c r="S80" s="18"/>
      <c r="T80" s="18"/>
      <c r="U80" s="18"/>
      <c r="V80" s="18"/>
    </row>
    <row r="81" spans="1:22" ht="12.75">
      <c r="A81" s="493"/>
      <c r="B81" s="493"/>
      <c r="C81" s="493"/>
      <c r="D81" s="493"/>
      <c r="E81" s="493"/>
      <c r="F81" s="493"/>
      <c r="G81" s="493"/>
      <c r="H81" s="493"/>
      <c r="I81" s="692" t="s">
        <v>1016</v>
      </c>
      <c r="J81" s="569">
        <f>+IF(Input!E14="","",Input!E14)</f>
      </c>
      <c r="K81" s="616"/>
      <c r="L81" s="525"/>
      <c r="M81" s="493"/>
      <c r="N81" s="493"/>
      <c r="O81" s="493"/>
      <c r="P81" s="65"/>
      <c r="Q81" s="21"/>
      <c r="R81" s="21"/>
      <c r="S81" s="18"/>
      <c r="T81" s="18"/>
      <c r="U81" s="18"/>
      <c r="V81" s="18"/>
    </row>
    <row r="82" spans="1:22" ht="12.75">
      <c r="A82" s="693" t="s">
        <v>1273</v>
      </c>
      <c r="B82" s="493"/>
      <c r="C82" s="493"/>
      <c r="D82" s="493"/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  <c r="P82" s="65"/>
      <c r="Q82" s="21"/>
      <c r="R82" s="21"/>
      <c r="S82" s="18"/>
      <c r="T82" s="18"/>
      <c r="U82" s="18"/>
      <c r="V82" s="18"/>
    </row>
    <row r="83" spans="1:22" ht="12.75">
      <c r="A83" s="493"/>
      <c r="B83" s="493"/>
      <c r="C83" s="493"/>
      <c r="D83" s="493"/>
      <c r="E83" s="493"/>
      <c r="F83" s="493"/>
      <c r="G83" s="493"/>
      <c r="H83" s="493"/>
      <c r="I83" s="493"/>
      <c r="J83" s="493"/>
      <c r="K83" s="493"/>
      <c r="L83" s="493"/>
      <c r="M83" s="493"/>
      <c r="N83" s="493"/>
      <c r="O83" s="493"/>
      <c r="P83" s="65"/>
      <c r="Q83" s="21"/>
      <c r="R83" s="21"/>
      <c r="S83" s="18"/>
      <c r="T83" s="18"/>
      <c r="U83" s="18"/>
      <c r="V83" s="18"/>
    </row>
    <row r="84" spans="1:22" ht="12.75">
      <c r="A84" s="70"/>
      <c r="B84" s="70"/>
      <c r="C84" s="70"/>
      <c r="D84" s="70"/>
      <c r="E84" s="70"/>
      <c r="F84" s="70"/>
      <c r="G84" s="493"/>
      <c r="H84" s="493"/>
      <c r="I84" s="493"/>
      <c r="J84" s="493"/>
      <c r="K84" s="493"/>
      <c r="L84" s="493"/>
      <c r="M84" s="493"/>
      <c r="N84" s="493"/>
      <c r="O84" s="493"/>
      <c r="P84" s="65"/>
      <c r="Q84" s="21"/>
      <c r="R84" s="21"/>
      <c r="S84" s="18"/>
      <c r="T84" s="18"/>
      <c r="U84" s="18"/>
      <c r="V84" s="18"/>
    </row>
    <row r="85" spans="1:22" ht="12.75">
      <c r="A85" s="65"/>
      <c r="B85" s="65"/>
      <c r="C85" s="65"/>
      <c r="D85" s="65"/>
      <c r="E85" s="65"/>
      <c r="F85" s="65"/>
      <c r="P85" s="65"/>
      <c r="Q85" s="21"/>
      <c r="R85" s="21"/>
      <c r="S85" s="18"/>
      <c r="T85" s="18"/>
      <c r="U85" s="18"/>
      <c r="V85" s="18"/>
    </row>
    <row r="86" spans="1:22" ht="12.7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65"/>
      <c r="O86" s="65"/>
      <c r="P86" s="65"/>
      <c r="Q86" s="21"/>
      <c r="R86" s="21"/>
      <c r="S86" s="18"/>
      <c r="T86" s="18"/>
      <c r="U86" s="18"/>
      <c r="V86" s="18"/>
    </row>
    <row r="87" spans="1:22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21"/>
      <c r="R87" s="21"/>
      <c r="S87" s="18"/>
      <c r="T87" s="18"/>
      <c r="U87" s="18"/>
      <c r="V87" s="18"/>
    </row>
    <row r="88" spans="1:22" ht="12.75">
      <c r="A88" s="70"/>
      <c r="B88" s="70"/>
      <c r="C88" s="344"/>
      <c r="D88" s="70"/>
      <c r="E88" s="110"/>
      <c r="F88" s="70"/>
      <c r="G88" s="344"/>
      <c r="H88" s="70"/>
      <c r="I88" s="65"/>
      <c r="J88" s="65"/>
      <c r="K88" s="344"/>
      <c r="L88" s="255"/>
      <c r="M88" s="65"/>
      <c r="N88" s="65"/>
      <c r="O88" s="65"/>
      <c r="P88" s="65"/>
      <c r="Q88" s="21"/>
      <c r="R88" s="21"/>
      <c r="S88" s="18"/>
      <c r="T88" s="18"/>
      <c r="U88" s="18"/>
      <c r="V88" s="18"/>
    </row>
    <row r="89" spans="1:22" ht="12.75">
      <c r="A89" s="70"/>
      <c r="B89" s="70"/>
      <c r="C89" s="344"/>
      <c r="D89" s="70"/>
      <c r="E89" s="70"/>
      <c r="F89" s="70"/>
      <c r="G89" s="70"/>
      <c r="H89" s="70"/>
      <c r="I89" s="70"/>
      <c r="J89" s="65"/>
      <c r="K89" s="344"/>
      <c r="L89" s="255"/>
      <c r="M89" s="65"/>
      <c r="N89" s="65"/>
      <c r="O89" s="65"/>
      <c r="P89" s="65"/>
      <c r="Q89" s="21"/>
      <c r="R89" s="21"/>
      <c r="S89" s="18"/>
      <c r="T89" s="18"/>
      <c r="U89" s="18"/>
      <c r="V89" s="18"/>
    </row>
    <row r="90" spans="1:22" ht="12.75">
      <c r="A90" s="326">
        <f>IF(B90="","",#REF!+1)</f>
      </c>
      <c r="B90" s="327"/>
      <c r="M90" s="329"/>
      <c r="N90" s="329"/>
      <c r="O90" s="65"/>
      <c r="P90" s="65"/>
      <c r="Q90" s="21"/>
      <c r="R90" s="21"/>
      <c r="S90" s="18"/>
      <c r="T90" s="18"/>
      <c r="U90" s="18"/>
      <c r="V90" s="18"/>
    </row>
    <row r="91" spans="1:22" ht="12.75">
      <c r="A91" s="326">
        <f>IF(B91="","",A90+1)</f>
      </c>
      <c r="B91" s="327"/>
      <c r="M91" s="334"/>
      <c r="N91" s="335"/>
      <c r="O91" s="65"/>
      <c r="P91" s="65"/>
      <c r="Q91" s="21"/>
      <c r="R91" s="21"/>
      <c r="S91" s="18"/>
      <c r="T91" s="18"/>
      <c r="U91" s="18"/>
      <c r="V91" s="18"/>
    </row>
    <row r="92" spans="1:22" ht="12.75">
      <c r="A92" s="326">
        <f>IF(B92="","",A91+1)</f>
      </c>
      <c r="B92" s="327"/>
      <c r="M92" s="334"/>
      <c r="N92" s="335"/>
      <c r="O92" s="65"/>
      <c r="P92" s="65"/>
      <c r="Q92" s="18"/>
      <c r="R92" s="18"/>
      <c r="S92" s="18"/>
      <c r="T92" s="18"/>
      <c r="U92" s="18"/>
      <c r="V92" s="18"/>
    </row>
    <row r="93" spans="15:22" ht="12.75">
      <c r="O93" s="65"/>
      <c r="P93" s="65"/>
      <c r="Q93" s="18"/>
      <c r="R93" s="18"/>
      <c r="S93" s="18"/>
      <c r="T93" s="18"/>
      <c r="U93" s="18"/>
      <c r="V93" s="18"/>
    </row>
    <row r="94" spans="15:22" ht="12.75">
      <c r="O94" s="65"/>
      <c r="P94" s="65"/>
      <c r="Q94" s="18"/>
      <c r="R94" s="18"/>
      <c r="S94" s="18"/>
      <c r="T94" s="18"/>
      <c r="U94" s="18"/>
      <c r="V94" s="18"/>
    </row>
    <row r="95" spans="1:22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18"/>
      <c r="R95" s="18"/>
      <c r="S95" s="18"/>
      <c r="T95" s="18"/>
      <c r="U95" s="18"/>
      <c r="V95" s="18"/>
    </row>
    <row r="96" spans="1:22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18"/>
      <c r="R96" s="18"/>
      <c r="S96" s="18"/>
      <c r="T96" s="18"/>
      <c r="U96" s="18"/>
      <c r="V96" s="18"/>
    </row>
    <row r="97" spans="1:22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18"/>
      <c r="R97" s="18"/>
      <c r="S97" s="18"/>
      <c r="T97" s="18"/>
      <c r="U97" s="18"/>
      <c r="V97" s="18"/>
    </row>
    <row r="98" spans="1:22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18"/>
      <c r="R98" s="18"/>
      <c r="S98" s="18"/>
      <c r="T98" s="18"/>
      <c r="U98" s="18"/>
      <c r="V98" s="18"/>
    </row>
    <row r="99" spans="1:22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18"/>
      <c r="R99" s="18"/>
      <c r="S99" s="18"/>
      <c r="T99" s="18"/>
      <c r="U99" s="18"/>
      <c r="V99" s="18"/>
    </row>
    <row r="100" spans="1:22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18"/>
      <c r="R100" s="18"/>
      <c r="S100" s="18"/>
      <c r="T100" s="18"/>
      <c r="U100" s="18"/>
      <c r="V100" s="18"/>
    </row>
    <row r="101" spans="1:22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18"/>
      <c r="R101" s="18"/>
      <c r="S101" s="18"/>
      <c r="T101" s="18"/>
      <c r="U101" s="18"/>
      <c r="V101" s="18"/>
    </row>
    <row r="102" spans="1:22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18"/>
      <c r="R102" s="18"/>
      <c r="S102" s="18"/>
      <c r="T102" s="18"/>
      <c r="U102" s="18"/>
      <c r="V102" s="18"/>
    </row>
    <row r="103" spans="1:22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18"/>
      <c r="R103" s="18"/>
      <c r="S103" s="18"/>
      <c r="T103" s="18"/>
      <c r="U103" s="18"/>
      <c r="V103" s="18"/>
    </row>
    <row r="104" spans="1:22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18"/>
      <c r="R104" s="18"/>
      <c r="S104" s="18"/>
      <c r="T104" s="18"/>
      <c r="U104" s="18"/>
      <c r="V104" s="18"/>
    </row>
    <row r="105" spans="1:22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18"/>
      <c r="R105" s="18"/>
      <c r="S105" s="18"/>
      <c r="T105" s="18"/>
      <c r="U105" s="18"/>
      <c r="V105" s="18"/>
    </row>
    <row r="106" spans="1:22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18"/>
      <c r="R106" s="18"/>
      <c r="S106" s="18"/>
      <c r="T106" s="18"/>
      <c r="U106" s="18"/>
      <c r="V106" s="18"/>
    </row>
    <row r="107" spans="1:22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18"/>
      <c r="R107" s="18"/>
      <c r="S107" s="18"/>
      <c r="T107" s="18"/>
      <c r="U107" s="18"/>
      <c r="V107" s="18"/>
    </row>
    <row r="108" spans="1:22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18"/>
      <c r="R108" s="18"/>
      <c r="S108" s="18"/>
      <c r="T108" s="18"/>
      <c r="U108" s="18"/>
      <c r="V108" s="18"/>
    </row>
    <row r="109" spans="1:22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18"/>
      <c r="R109" s="18"/>
      <c r="S109" s="18"/>
      <c r="T109" s="18"/>
      <c r="U109" s="18"/>
      <c r="V109" s="18"/>
    </row>
    <row r="110" spans="1:22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18"/>
      <c r="R110" s="18"/>
      <c r="S110" s="18"/>
      <c r="T110" s="18"/>
      <c r="U110" s="18"/>
      <c r="V110" s="18"/>
    </row>
    <row r="111" spans="1:22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18"/>
      <c r="R111" s="18"/>
      <c r="S111" s="18"/>
      <c r="T111" s="18"/>
      <c r="U111" s="18"/>
      <c r="V111" s="18"/>
    </row>
    <row r="112" spans="1:22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18"/>
      <c r="R112" s="18"/>
      <c r="S112" s="18"/>
      <c r="T112" s="18"/>
      <c r="U112" s="18"/>
      <c r="V112" s="18"/>
    </row>
    <row r="113" spans="1:22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18"/>
      <c r="R113" s="18"/>
      <c r="S113" s="18"/>
      <c r="T113" s="18"/>
      <c r="U113" s="18"/>
      <c r="V113" s="18"/>
    </row>
    <row r="114" spans="1:22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18"/>
      <c r="R114" s="18"/>
      <c r="S114" s="18"/>
      <c r="T114" s="18"/>
      <c r="U114" s="18"/>
      <c r="V114" s="18"/>
    </row>
    <row r="115" spans="1:22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18"/>
      <c r="R115" s="18"/>
      <c r="S115" s="18"/>
      <c r="T115" s="18"/>
      <c r="U115" s="18"/>
      <c r="V115" s="18"/>
    </row>
    <row r="116" spans="1:22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18"/>
      <c r="R116" s="18"/>
      <c r="S116" s="18"/>
      <c r="T116" s="18"/>
      <c r="U116" s="18"/>
      <c r="V116" s="18"/>
    </row>
    <row r="117" spans="1:22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18"/>
      <c r="R117" s="18"/>
      <c r="S117" s="18"/>
      <c r="T117" s="18"/>
      <c r="U117" s="18"/>
      <c r="V117" s="18"/>
    </row>
    <row r="118" spans="1:22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18"/>
      <c r="R118" s="18"/>
      <c r="S118" s="18"/>
      <c r="T118" s="18"/>
      <c r="U118" s="18"/>
      <c r="V118" s="18"/>
    </row>
    <row r="119" spans="1:22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18"/>
      <c r="R119" s="18"/>
      <c r="S119" s="18"/>
      <c r="T119" s="18"/>
      <c r="U119" s="18"/>
      <c r="V119" s="18"/>
    </row>
    <row r="120" spans="1:22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18"/>
      <c r="R120" s="18"/>
      <c r="S120" s="18"/>
      <c r="T120" s="18"/>
      <c r="U120" s="18"/>
      <c r="V120" s="18"/>
    </row>
    <row r="121" spans="1:22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18"/>
      <c r="R121" s="18"/>
      <c r="S121" s="18"/>
      <c r="T121" s="18"/>
      <c r="U121" s="18"/>
      <c r="V121" s="18"/>
    </row>
    <row r="122" spans="1:16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</row>
  </sheetData>
  <sheetProtection sheet="1" objects="1" scenarios="1"/>
  <mergeCells count="6">
    <mergeCell ref="G13:G16"/>
    <mergeCell ref="E1:G1"/>
    <mergeCell ref="A9:O9"/>
    <mergeCell ref="A10:O10"/>
    <mergeCell ref="A11:O11"/>
    <mergeCell ref="A12:O12"/>
  </mergeCells>
  <dataValidations count="4">
    <dataValidation type="list" allowBlank="1" showInputMessage="1" showErrorMessage="1" sqref="G68 B53 E53">
      <formula1>$D$32:$D$35</formula1>
    </dataValidation>
    <dataValidation type="list" allowBlank="1" showInputMessage="1" showErrorMessage="1" sqref="I13:I16">
      <formula1>Input!$C$64:$C$68</formula1>
    </dataValidation>
    <dataValidation type="list" allowBlank="1" showInputMessage="1" showErrorMessage="1" sqref="K13:K16">
      <formula1>Input!$E$64:$E$68</formula1>
    </dataValidation>
    <dataValidation type="list" allowBlank="1" showInputMessage="1" showErrorMessage="1" sqref="B41:B52 N60:N61 K60:K61 H65:H66 E65:E66 B65:B66 H60:H61 E60:E61 B60:B61 N52:N53 K52:K53 H52:H53 N41:N44 K41:K46 H41:H48 E41:E52">
      <formula1>$D$32:$D$36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V1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8515625" style="0" customWidth="1"/>
    <col min="4" max="4" width="15.421875" style="0" customWidth="1"/>
    <col min="5" max="5" width="10.140625" style="0" customWidth="1"/>
    <col min="6" max="6" width="11.57421875" style="0" bestFit="1" customWidth="1"/>
    <col min="7" max="7" width="12.421875" style="0" customWidth="1"/>
    <col min="8" max="8" width="11.57421875" style="0" customWidth="1"/>
    <col min="11" max="11" width="9.8515625" style="0" customWidth="1"/>
    <col min="12" max="12" width="10.57421875" style="0" customWidth="1"/>
    <col min="14" max="14" width="10.7109375" style="0" customWidth="1"/>
    <col min="15" max="16" width="12.7109375" style="0" customWidth="1"/>
  </cols>
  <sheetData>
    <row r="1" spans="1:22" ht="12.75">
      <c r="A1" s="70"/>
      <c r="B1" s="70"/>
      <c r="C1" s="70"/>
      <c r="D1" s="70"/>
      <c r="E1" s="1023" t="s">
        <v>861</v>
      </c>
      <c r="F1" s="1024"/>
      <c r="G1" s="1024"/>
      <c r="H1" s="70"/>
      <c r="I1" s="70"/>
      <c r="J1" s="70"/>
      <c r="K1" s="66"/>
      <c r="L1" s="66"/>
      <c r="M1" s="66"/>
      <c r="N1" s="66"/>
      <c r="O1" s="66"/>
      <c r="P1" s="8"/>
      <c r="Q1" s="21"/>
      <c r="R1" s="21"/>
      <c r="S1" s="18"/>
      <c r="T1" s="18"/>
      <c r="U1" s="18"/>
      <c r="V1" s="18"/>
    </row>
    <row r="2" spans="1:22" ht="15.75">
      <c r="A2" s="736" t="s">
        <v>777</v>
      </c>
      <c r="B2" s="705"/>
      <c r="C2" s="705"/>
      <c r="D2" s="705"/>
      <c r="E2" s="705"/>
      <c r="F2" s="705"/>
      <c r="G2" s="705"/>
      <c r="H2" s="705"/>
      <c r="I2" s="705"/>
      <c r="J2" s="705"/>
      <c r="K2" s="66"/>
      <c r="L2" s="66"/>
      <c r="M2" s="66"/>
      <c r="N2" s="66"/>
      <c r="O2" s="66"/>
      <c r="P2" s="8"/>
      <c r="Q2" s="21"/>
      <c r="R2" s="21"/>
      <c r="S2" s="18"/>
      <c r="T2" s="18"/>
      <c r="U2" s="18"/>
      <c r="V2" s="18"/>
    </row>
    <row r="3" spans="1:22" ht="12.75">
      <c r="A3" s="344"/>
      <c r="B3" s="737"/>
      <c r="C3" s="70"/>
      <c r="D3" s="344"/>
      <c r="E3" s="70"/>
      <c r="F3" s="70"/>
      <c r="G3" s="344"/>
      <c r="H3" s="70"/>
      <c r="I3" s="705"/>
      <c r="J3" s="705"/>
      <c r="K3" s="70"/>
      <c r="L3" s="70"/>
      <c r="M3" s="70"/>
      <c r="N3" s="70"/>
      <c r="O3" s="70"/>
      <c r="P3" s="8"/>
      <c r="Q3" s="21"/>
      <c r="R3" s="21"/>
      <c r="S3" s="18"/>
      <c r="T3" s="18"/>
      <c r="U3" s="18"/>
      <c r="V3" s="18"/>
    </row>
    <row r="4" spans="1:22" ht="12.75">
      <c r="A4" s="70"/>
      <c r="B4" s="255"/>
      <c r="C4" s="70"/>
      <c r="D4" s="344"/>
      <c r="E4" s="70"/>
      <c r="F4" s="70"/>
      <c r="G4" s="70"/>
      <c r="H4" s="70"/>
      <c r="I4" s="705"/>
      <c r="J4" s="705"/>
      <c r="K4" s="70"/>
      <c r="L4" s="70"/>
      <c r="M4" s="70"/>
      <c r="N4" s="70"/>
      <c r="O4" s="70"/>
      <c r="P4" s="8"/>
      <c r="Q4" s="21"/>
      <c r="R4" s="21"/>
      <c r="S4" s="18"/>
      <c r="T4" s="18"/>
      <c r="U4" s="18"/>
      <c r="V4" s="18"/>
    </row>
    <row r="5" spans="1:22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8"/>
      <c r="Q5" s="21"/>
      <c r="R5" s="21"/>
      <c r="S5" s="18"/>
      <c r="T5" s="18"/>
      <c r="U5" s="18"/>
      <c r="V5" s="18"/>
    </row>
    <row r="6" spans="1:22" ht="12.75">
      <c r="A6" s="66" t="s">
        <v>114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8"/>
      <c r="Q6" s="21"/>
      <c r="R6" s="21"/>
      <c r="S6" s="18"/>
      <c r="T6" s="18"/>
      <c r="U6" s="18"/>
      <c r="V6" s="18"/>
    </row>
    <row r="7" spans="1:22" ht="4.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70"/>
      <c r="Q7" s="21"/>
      <c r="R7" s="21"/>
      <c r="S7" s="18"/>
      <c r="T7" s="18"/>
      <c r="U7" s="18"/>
      <c r="V7" s="18"/>
    </row>
    <row r="8" spans="1:22" ht="12.75">
      <c r="A8" s="66" t="s">
        <v>778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8" t="s">
        <v>1310</v>
      </c>
      <c r="O8" s="70"/>
      <c r="P8" s="70"/>
      <c r="Q8" s="21"/>
      <c r="R8" s="21"/>
      <c r="S8" s="18"/>
      <c r="T8" s="18"/>
      <c r="U8" s="18"/>
      <c r="V8" s="18"/>
    </row>
    <row r="9" spans="1:22" ht="15.75">
      <c r="A9" s="1025" t="s">
        <v>84</v>
      </c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58"/>
      <c r="Q9" s="21"/>
      <c r="R9" s="21"/>
      <c r="S9" s="18"/>
      <c r="T9" s="18"/>
      <c r="U9" s="18"/>
      <c r="V9" s="18"/>
    </row>
    <row r="10" spans="1:22" ht="12.75">
      <c r="A10" s="1027" t="s">
        <v>101</v>
      </c>
      <c r="B10" s="1026"/>
      <c r="C10" s="1026"/>
      <c r="D10" s="1026"/>
      <c r="E10" s="1026"/>
      <c r="F10" s="1026"/>
      <c r="G10" s="1026"/>
      <c r="H10" s="1026"/>
      <c r="I10" s="1026"/>
      <c r="J10" s="1026"/>
      <c r="K10" s="1026"/>
      <c r="L10" s="1026"/>
      <c r="M10" s="1026"/>
      <c r="N10" s="1026"/>
      <c r="O10" s="1026"/>
      <c r="P10" s="346"/>
      <c r="Q10" s="21"/>
      <c r="R10" s="21"/>
      <c r="S10" s="18"/>
      <c r="T10" s="18"/>
      <c r="U10" s="18"/>
      <c r="V10" s="18"/>
    </row>
    <row r="11" spans="1:22" ht="12.75">
      <c r="A11" s="1027" t="s">
        <v>102</v>
      </c>
      <c r="B11" s="1026"/>
      <c r="C11" s="1026"/>
      <c r="D11" s="1026"/>
      <c r="E11" s="1026"/>
      <c r="F11" s="1026"/>
      <c r="G11" s="1026"/>
      <c r="H11" s="1026"/>
      <c r="I11" s="1026"/>
      <c r="J11" s="1026"/>
      <c r="K11" s="1026"/>
      <c r="L11" s="1026"/>
      <c r="M11" s="1026"/>
      <c r="N11" s="1026"/>
      <c r="O11" s="1026"/>
      <c r="P11" s="346"/>
      <c r="Q11" s="21"/>
      <c r="R11" s="21"/>
      <c r="S11" s="18"/>
      <c r="T11" s="18"/>
      <c r="U11" s="18"/>
      <c r="V11" s="18"/>
    </row>
    <row r="12" spans="1:22" ht="12.75">
      <c r="A12" s="1030" t="s">
        <v>1265</v>
      </c>
      <c r="B12" s="1035"/>
      <c r="C12" s="1035"/>
      <c r="D12" s="1035"/>
      <c r="E12" s="1035"/>
      <c r="F12" s="1035"/>
      <c r="G12" s="1035"/>
      <c r="H12" s="1035"/>
      <c r="I12" s="1035"/>
      <c r="J12" s="1035"/>
      <c r="K12" s="1035"/>
      <c r="L12" s="1035"/>
      <c r="M12" s="1035"/>
      <c r="N12" s="1035"/>
      <c r="O12" s="1035"/>
      <c r="P12" s="346"/>
      <c r="Q12" s="21"/>
      <c r="R12" s="21"/>
      <c r="S12" s="18"/>
      <c r="T12" s="18"/>
      <c r="U12" s="18"/>
      <c r="V12" s="18"/>
    </row>
    <row r="13" spans="1:22" ht="12.75">
      <c r="A13" s="493"/>
      <c r="B13" s="493"/>
      <c r="C13" s="493"/>
      <c r="D13" s="496" t="s">
        <v>1003</v>
      </c>
      <c r="E13" s="497">
        <f>IF(Input!$B$7="","",Input!$B$7)</f>
      </c>
      <c r="F13" s="498"/>
      <c r="G13" s="1020" t="s">
        <v>107</v>
      </c>
      <c r="H13" s="500">
        <v>1</v>
      </c>
      <c r="I13" s="728"/>
      <c r="J13" s="500">
        <v>5</v>
      </c>
      <c r="K13" s="728"/>
      <c r="L13" s="502" t="s">
        <v>560</v>
      </c>
      <c r="M13" s="607"/>
      <c r="N13" s="503"/>
      <c r="O13" s="322"/>
      <c r="P13" s="65"/>
      <c r="Q13" s="21"/>
      <c r="R13" s="21"/>
      <c r="S13" s="18"/>
      <c r="T13" s="18"/>
      <c r="U13" s="18"/>
      <c r="V13" s="18"/>
    </row>
    <row r="14" spans="1:22" ht="12.75">
      <c r="A14" s="493"/>
      <c r="B14" s="493"/>
      <c r="C14" s="493"/>
      <c r="D14" s="496" t="s">
        <v>103</v>
      </c>
      <c r="E14" s="497">
        <f>IF(Input!$B$8="","",Input!$B$8)</f>
      </c>
      <c r="F14" s="498"/>
      <c r="G14" s="1021"/>
      <c r="H14" s="500">
        <v>2</v>
      </c>
      <c r="I14" s="728"/>
      <c r="J14" s="500">
        <v>6</v>
      </c>
      <c r="K14" s="728"/>
      <c r="L14" s="505" t="s">
        <v>50</v>
      </c>
      <c r="M14" s="506">
        <f ca="1">TODAY()</f>
        <v>40878</v>
      </c>
      <c r="N14" s="503"/>
      <c r="O14" s="322"/>
      <c r="P14" s="65"/>
      <c r="Q14" s="21"/>
      <c r="R14" s="21"/>
      <c r="S14" s="18"/>
      <c r="T14" s="18"/>
      <c r="U14" s="18"/>
      <c r="V14" s="18"/>
    </row>
    <row r="15" spans="1:22" ht="12.75">
      <c r="A15" s="493"/>
      <c r="B15" s="493"/>
      <c r="C15" s="493"/>
      <c r="D15" s="496" t="s">
        <v>1041</v>
      </c>
      <c r="E15" s="497">
        <f>IF(Input!$B$10="","",Input!$B$10)</f>
      </c>
      <c r="F15" s="498"/>
      <c r="G15" s="1021"/>
      <c r="H15" s="500">
        <v>3</v>
      </c>
      <c r="I15" s="728"/>
      <c r="J15" s="500">
        <v>7</v>
      </c>
      <c r="K15" s="728"/>
      <c r="L15" s="496" t="s">
        <v>1034</v>
      </c>
      <c r="M15" s="507">
        <f>IF(Input!$B$30="","",Input!$B$30)</f>
      </c>
      <c r="N15" s="508"/>
      <c r="O15" s="322"/>
      <c r="P15" s="65"/>
      <c r="Q15" s="21"/>
      <c r="R15" s="21"/>
      <c r="S15" s="18"/>
      <c r="T15" s="18"/>
      <c r="U15" s="18"/>
      <c r="V15" s="18"/>
    </row>
    <row r="16" spans="1:22" ht="12.75">
      <c r="A16" s="493"/>
      <c r="B16" s="493"/>
      <c r="C16" s="493"/>
      <c r="D16" s="496" t="s">
        <v>1004</v>
      </c>
      <c r="E16" s="497">
        <f>IF(Input!$E$5="","",Input!$E$5)</f>
      </c>
      <c r="F16" s="498"/>
      <c r="G16" s="1022"/>
      <c r="H16" s="500">
        <v>4</v>
      </c>
      <c r="I16" s="728"/>
      <c r="J16" s="500">
        <v>8</v>
      </c>
      <c r="K16" s="728"/>
      <c r="L16" s="496" t="s">
        <v>1035</v>
      </c>
      <c r="M16" s="507">
        <f>IF(Input!$B$31="","",Input!$B$31)</f>
      </c>
      <c r="N16" s="508"/>
      <c r="O16" s="322"/>
      <c r="P16" s="65"/>
      <c r="Q16" s="21"/>
      <c r="R16" s="21"/>
      <c r="S16" s="18"/>
      <c r="T16" s="18"/>
      <c r="U16" s="18"/>
      <c r="V16" s="18"/>
    </row>
    <row r="17" spans="1:22" ht="12.75">
      <c r="A17" s="493"/>
      <c r="B17" s="493"/>
      <c r="C17" s="493"/>
      <c r="D17" s="510" t="s">
        <v>49</v>
      </c>
      <c r="E17" s="497">
        <f>IF(Input!$E$6="","",Input!$E$6)</f>
      </c>
      <c r="F17" s="498"/>
      <c r="G17" s="496" t="s">
        <v>1017</v>
      </c>
      <c r="H17" s="511">
        <f>IF(Input!$B$68="","",Input!$B$68)</f>
      </c>
      <c r="I17" s="512"/>
      <c r="J17" s="512"/>
      <c r="K17" s="512"/>
      <c r="L17" s="496" t="s">
        <v>1030</v>
      </c>
      <c r="M17" s="507">
        <f>IF(Input!$B$32="","",Input!$B$32)</f>
      </c>
      <c r="N17" s="508"/>
      <c r="O17" s="493"/>
      <c r="P17" s="65"/>
      <c r="Q17" s="21"/>
      <c r="R17" s="21"/>
      <c r="S17" s="18"/>
      <c r="T17" s="18"/>
      <c r="U17" s="18"/>
      <c r="V17" s="18"/>
    </row>
    <row r="18" spans="1:22" ht="12.75">
      <c r="A18" s="493"/>
      <c r="B18" s="493"/>
      <c r="C18" s="493"/>
      <c r="D18" s="510" t="s">
        <v>106</v>
      </c>
      <c r="E18" s="497">
        <f>IF(Input!$E$7="","",Input!$E$7)</f>
      </c>
      <c r="F18" s="498"/>
      <c r="G18" s="496" t="s">
        <v>1018</v>
      </c>
      <c r="H18" s="511">
        <f>IF(Input!$B$69="","",Input!$B$69)</f>
      </c>
      <c r="I18" s="512"/>
      <c r="J18" s="512"/>
      <c r="K18" s="512"/>
      <c r="L18" s="496" t="s">
        <v>1036</v>
      </c>
      <c r="M18" s="507">
        <f>IF(Input!$B$33="","",Input!$B$33)</f>
      </c>
      <c r="N18" s="508"/>
      <c r="O18" s="493"/>
      <c r="P18" s="65"/>
      <c r="Q18" s="21"/>
      <c r="R18" s="21"/>
      <c r="S18" s="18"/>
      <c r="T18" s="18"/>
      <c r="U18" s="18"/>
      <c r="V18" s="18"/>
    </row>
    <row r="19" spans="1:22" ht="12.75">
      <c r="A19" s="493"/>
      <c r="B19" s="493"/>
      <c r="C19" s="493"/>
      <c r="D19" s="510" t="s">
        <v>48</v>
      </c>
      <c r="E19" s="497">
        <f>IF(Input!$E$8="","",Input!$E$8)</f>
      </c>
      <c r="F19" s="498"/>
      <c r="G19" s="496" t="s">
        <v>1019</v>
      </c>
      <c r="H19" s="511">
        <f>IF(Input!$B$70="","",Input!$B$70)</f>
      </c>
      <c r="I19" s="512"/>
      <c r="J19" s="512"/>
      <c r="K19" s="512"/>
      <c r="L19" s="496" t="s">
        <v>1033</v>
      </c>
      <c r="M19" s="507">
        <f>IF(Input!$B$34="","",Input!$B$34)</f>
      </c>
      <c r="N19" s="508"/>
      <c r="O19" s="493"/>
      <c r="P19" s="65"/>
      <c r="Q19" s="21"/>
      <c r="R19" s="21"/>
      <c r="S19" s="18"/>
      <c r="T19" s="18"/>
      <c r="U19" s="18"/>
      <c r="V19" s="18"/>
    </row>
    <row r="20" spans="1:22" ht="12.75">
      <c r="A20" s="493"/>
      <c r="B20" s="493"/>
      <c r="C20" s="493"/>
      <c r="D20" s="496" t="s">
        <v>1039</v>
      </c>
      <c r="E20" s="497">
        <f>IF(Input!$B$37="","",Input!$B$37)</f>
      </c>
      <c r="F20" s="498"/>
      <c r="G20" s="496" t="s">
        <v>1020</v>
      </c>
      <c r="H20" s="511">
        <f>IF(Input!$B$71="","",Input!$B$71)</f>
      </c>
      <c r="I20" s="512"/>
      <c r="J20" s="512"/>
      <c r="K20" s="512"/>
      <c r="L20" s="496" t="s">
        <v>1037</v>
      </c>
      <c r="M20" s="507">
        <f>IF(Input!$B$35="","",Input!$B$35)</f>
      </c>
      <c r="N20" s="508"/>
      <c r="O20" s="493"/>
      <c r="P20" s="65"/>
      <c r="Q20" s="21"/>
      <c r="R20" s="21"/>
      <c r="S20" s="18"/>
      <c r="T20" s="18"/>
      <c r="U20" s="18"/>
      <c r="V20" s="18"/>
    </row>
    <row r="21" spans="1:22" ht="12.75">
      <c r="A21" s="493"/>
      <c r="B21" s="493"/>
      <c r="C21" s="493"/>
      <c r="D21" s="496" t="s">
        <v>98</v>
      </c>
      <c r="E21" s="573"/>
      <c r="F21" s="574"/>
      <c r="G21" s="496" t="s">
        <v>1021</v>
      </c>
      <c r="H21" s="511">
        <f>IF(Input!$B$72="","",Input!$B$72)</f>
      </c>
      <c r="I21" s="512"/>
      <c r="J21" s="512"/>
      <c r="K21" s="512"/>
      <c r="L21" s="496" t="s">
        <v>1038</v>
      </c>
      <c r="M21" s="507">
        <f>IF(Input!$B$36="","",Input!$B$36)</f>
      </c>
      <c r="N21" s="508"/>
      <c r="O21" s="493"/>
      <c r="P21" s="70"/>
      <c r="Q21" s="21"/>
      <c r="R21" s="21"/>
      <c r="S21" s="18"/>
      <c r="T21" s="18"/>
      <c r="U21" s="18"/>
      <c r="V21" s="18"/>
    </row>
    <row r="22" spans="1:22" ht="12.75">
      <c r="A22" s="493"/>
      <c r="B22" s="493"/>
      <c r="C22" s="493"/>
      <c r="D22" s="496" t="s">
        <v>104</v>
      </c>
      <c r="E22" s="497">
        <f>IF(Input!$B$9="","",Input!$B$9)</f>
      </c>
      <c r="F22" s="498"/>
      <c r="G22" s="496" t="s">
        <v>1022</v>
      </c>
      <c r="H22" s="511">
        <f>IF(Input!$B$73="","",Input!$B$73)</f>
      </c>
      <c r="I22" s="512"/>
      <c r="J22" s="512"/>
      <c r="K22" s="512"/>
      <c r="L22" s="513"/>
      <c r="M22" s="514"/>
      <c r="N22" s="515"/>
      <c r="O22" s="493"/>
      <c r="P22" s="70"/>
      <c r="Q22" s="21"/>
      <c r="R22" s="21"/>
      <c r="S22" s="18"/>
      <c r="T22" s="18"/>
      <c r="U22" s="18"/>
      <c r="V22" s="18"/>
    </row>
    <row r="23" spans="1:22" ht="12.75">
      <c r="A23" s="493"/>
      <c r="B23" s="493"/>
      <c r="C23" s="493"/>
      <c r="D23" s="496" t="s">
        <v>105</v>
      </c>
      <c r="E23" s="516">
        <f>'Setup Bm Input'!$B$34</f>
      </c>
      <c r="F23" s="498" t="str">
        <f>IF(Input!$B$6="","",IF(Input!$B$6="E","in.",IF(Input!$B$6="M","mm")))</f>
        <v>in.</v>
      </c>
      <c r="G23" s="496" t="s">
        <v>1024</v>
      </c>
      <c r="H23" s="511">
        <f>IF('Setup Bm Input'!$A$46="","",'Setup Bm Input'!$A$46)</f>
      </c>
      <c r="I23" s="512"/>
      <c r="J23" s="512"/>
      <c r="K23" s="512"/>
      <c r="L23" s="517"/>
      <c r="M23" s="518"/>
      <c r="N23" s="515"/>
      <c r="O23" s="493"/>
      <c r="P23" s="70"/>
      <c r="Q23" s="21"/>
      <c r="R23" s="21"/>
      <c r="S23" s="18"/>
      <c r="T23" s="18"/>
      <c r="U23" s="18"/>
      <c r="V23" s="18"/>
    </row>
    <row r="24" spans="1:22" ht="12.75">
      <c r="A24" s="493"/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70"/>
      <c r="Q24" s="21"/>
      <c r="R24" s="21"/>
      <c r="S24" s="18"/>
      <c r="T24" s="18"/>
      <c r="U24" s="18"/>
      <c r="V24" s="18"/>
    </row>
    <row r="25" spans="1:22" ht="19.5" customHeight="1">
      <c r="A25" s="81"/>
      <c r="B25" s="83"/>
      <c r="C25" s="78" t="s">
        <v>715</v>
      </c>
      <c r="D25" s="341">
        <f>IF(B5="","",B5)</f>
      </c>
      <c r="E25" s="710"/>
      <c r="F25" s="78" t="s">
        <v>716</v>
      </c>
      <c r="G25" s="343"/>
      <c r="H25" s="81"/>
      <c r="I25" s="78" t="s">
        <v>717</v>
      </c>
      <c r="J25" s="342">
        <f>IF(H5="","",H5)</f>
      </c>
      <c r="K25" s="81"/>
      <c r="L25" s="81"/>
      <c r="M25" s="81"/>
      <c r="N25" s="81"/>
      <c r="O25" s="81"/>
      <c r="P25" s="70"/>
      <c r="Q25" s="21"/>
      <c r="R25" s="21"/>
      <c r="S25" s="18"/>
      <c r="T25" s="18"/>
      <c r="U25" s="18"/>
      <c r="V25" s="18"/>
    </row>
    <row r="26" spans="1:22" ht="19.5" customHeight="1">
      <c r="A26" s="81"/>
      <c r="B26" s="83"/>
      <c r="C26" s="78"/>
      <c r="D26" s="82" t="s">
        <v>594</v>
      </c>
      <c r="E26" s="710"/>
      <c r="F26" s="493"/>
      <c r="G26" s="493"/>
      <c r="H26" s="81"/>
      <c r="I26" s="81"/>
      <c r="J26" s="81"/>
      <c r="K26" s="81"/>
      <c r="L26" s="81"/>
      <c r="M26" s="81"/>
      <c r="N26" s="81"/>
      <c r="O26" s="322"/>
      <c r="P26" s="70"/>
      <c r="Q26" s="21"/>
      <c r="R26" s="21"/>
      <c r="S26" s="18"/>
      <c r="T26" s="18"/>
      <c r="U26" s="18"/>
      <c r="V26" s="18"/>
    </row>
    <row r="27" spans="1:22" ht="19.5" customHeight="1">
      <c r="A27" s="81"/>
      <c r="B27" s="83"/>
      <c r="C27" s="78" t="s">
        <v>1005</v>
      </c>
      <c r="D27" s="85">
        <f>+IF('Setup Bm Input'!$B$59="","",'Setup Bm Input'!$B$59)</f>
      </c>
      <c r="E27" s="86"/>
      <c r="F27" s="340"/>
      <c r="G27" s="710"/>
      <c r="H27" s="710"/>
      <c r="I27" s="350" t="s">
        <v>771</v>
      </c>
      <c r="J27" s="352"/>
      <c r="K27" s="353" t="s">
        <v>772</v>
      </c>
      <c r="L27" s="351"/>
      <c r="M27" s="81"/>
      <c r="N27" s="81"/>
      <c r="O27" s="323"/>
      <c r="P27" s="65"/>
      <c r="Q27" s="21"/>
      <c r="R27" s="21"/>
      <c r="S27" s="18"/>
      <c r="T27" s="18"/>
      <c r="U27" s="18"/>
      <c r="V27" s="18"/>
    </row>
    <row r="28" spans="1:22" ht="19.5" customHeight="1">
      <c r="A28" s="81"/>
      <c r="B28" s="83"/>
      <c r="C28" s="81"/>
      <c r="D28" s="81"/>
      <c r="E28" s="81"/>
      <c r="F28" s="81"/>
      <c r="G28" s="81"/>
      <c r="H28" s="81"/>
      <c r="I28" s="337" t="s">
        <v>56</v>
      </c>
      <c r="J28" s="337" t="s">
        <v>56</v>
      </c>
      <c r="K28" s="348" t="s">
        <v>56</v>
      </c>
      <c r="L28" s="339" t="s">
        <v>56</v>
      </c>
      <c r="M28" s="493"/>
      <c r="N28" s="493"/>
      <c r="O28" s="323"/>
      <c r="P28" s="65"/>
      <c r="Q28" s="21"/>
      <c r="R28" s="21"/>
      <c r="S28" s="18"/>
      <c r="T28" s="18"/>
      <c r="U28" s="18"/>
      <c r="V28" s="18"/>
    </row>
    <row r="29" spans="1:22" ht="19.5" customHeight="1">
      <c r="A29" s="81"/>
      <c r="B29" s="493"/>
      <c r="C29" s="493"/>
      <c r="D29" s="738" t="s">
        <v>780</v>
      </c>
      <c r="E29" s="712" t="str">
        <f>+IF('Setup Bm Input'!$B$48="","No Input",'Setup Bm Input'!$B$48)</f>
        <v>No Input</v>
      </c>
      <c r="F29" s="493"/>
      <c r="G29" s="384"/>
      <c r="H29" s="384"/>
      <c r="I29" s="336" t="str">
        <f>IF('Setup Bm Input'!$F$51="","No Input",IF('Setup Bm Input'!$F$51="Net","Net El.","Gross El."))</f>
        <v>No Input</v>
      </c>
      <c r="J29" s="338" t="str">
        <f>IF('Setup Bm Input'!$F$51="","No Input",IF('Setup Bm Input'!$F$51="Net","Net El.","Gross El."))</f>
        <v>No Input</v>
      </c>
      <c r="K29" s="349" t="str">
        <f>IF('Setup Bm Input'!$F$51="","No Input",IF('Setup Bm Input'!$F$51="Net","Net El.","Gross El."))</f>
        <v>No Input</v>
      </c>
      <c r="L29" s="336" t="str">
        <f>IF('Setup Bm Input'!$F$51="","No Input",IF('Setup Bm Input'!$F$51="Net","Net El.","Gross El."))</f>
        <v>No Input</v>
      </c>
      <c r="M29" s="493"/>
      <c r="N29" s="493"/>
      <c r="O29" s="323"/>
      <c r="P29" s="65"/>
      <c r="Q29" s="21"/>
      <c r="R29" s="21"/>
      <c r="S29" s="18"/>
      <c r="T29" s="18"/>
      <c r="U29" s="18"/>
      <c r="V29" s="18"/>
    </row>
    <row r="30" spans="1:22" ht="19.5" customHeight="1">
      <c r="A30" s="78"/>
      <c r="B30" s="493"/>
      <c r="C30" s="493"/>
      <c r="D30" s="493"/>
      <c r="E30" s="493"/>
      <c r="F30" s="493"/>
      <c r="G30" s="699" t="s">
        <v>1197</v>
      </c>
      <c r="H30" s="599" t="s">
        <v>56</v>
      </c>
      <c r="I30" s="713" t="s">
        <v>748</v>
      </c>
      <c r="J30" s="714" t="s">
        <v>747</v>
      </c>
      <c r="K30" s="739" t="s">
        <v>769</v>
      </c>
      <c r="L30" s="714" t="s">
        <v>770</v>
      </c>
      <c r="M30" s="493"/>
      <c r="N30" s="493"/>
      <c r="O30" s="323"/>
      <c r="P30" s="65"/>
      <c r="Q30" s="21"/>
      <c r="R30" s="21"/>
      <c r="S30" s="18"/>
      <c r="T30" s="18"/>
      <c r="U30" s="18"/>
      <c r="V30" s="18"/>
    </row>
    <row r="31" spans="1:22" ht="19.5" customHeight="1">
      <c r="A31" s="78"/>
      <c r="B31" s="493"/>
      <c r="C31" s="560" t="s">
        <v>113</v>
      </c>
      <c r="D31" s="560" t="s">
        <v>115</v>
      </c>
      <c r="E31" s="667" t="s">
        <v>754</v>
      </c>
      <c r="F31" s="667" t="s">
        <v>753</v>
      </c>
      <c r="G31" s="637"/>
      <c r="H31" s="336" t="str">
        <f>IF('Setup Bm Input'!$F$51="","No Input",IF('Setup Bm Input'!$F$51="Net","Net El.","Gross El."))</f>
        <v>No Input</v>
      </c>
      <c r="I31" s="715" t="s">
        <v>556</v>
      </c>
      <c r="J31" s="638" t="s">
        <v>557</v>
      </c>
      <c r="K31" s="686" t="s">
        <v>556</v>
      </c>
      <c r="L31" s="638" t="s">
        <v>557</v>
      </c>
      <c r="M31" s="493"/>
      <c r="N31" s="493"/>
      <c r="O31" s="323"/>
      <c r="P31" s="65"/>
      <c r="Q31" s="21"/>
      <c r="R31" s="21"/>
      <c r="S31" s="18"/>
      <c r="T31" s="18"/>
      <c r="U31" s="18"/>
      <c r="V31" s="18"/>
    </row>
    <row r="32" spans="1:22" ht="19.5" customHeight="1">
      <c r="A32" s="78"/>
      <c r="B32" s="493"/>
      <c r="C32" s="560" t="s">
        <v>90</v>
      </c>
      <c r="D32" s="511">
        <f>+IF('Setup Bm Input'!$B63="","",'Setup Bm Input'!$B63)</f>
      </c>
      <c r="E32" s="511">
        <f>+IF('Setup Bm Input'!$C63="","",'Setup Bm Input'!$C63)</f>
      </c>
      <c r="F32" s="511">
        <f>+IF('Setup Bm Input'!$E63="","",'Setup Bm Input'!$E63/1000000)</f>
      </c>
      <c r="G32" s="716">
        <f>+IF('Singlet F'!$F71="","",'Singlet F'!$F71)</f>
      </c>
      <c r="H32" s="368" t="str">
        <f>IF('Setup Bm Input'!$F$51="","Error",IF('Singlet E'!$G83="","",IF('Singlet E'!$B83="","",IF('Setup Bm Input'!$F$51="Net",'Singlet E'!$G83,'Singlet E'!$B83))))</f>
        <v>Error</v>
      </c>
      <c r="I32" s="368" t="str">
        <f>IF('Setup Bm Input'!$F$51="","Error",IF('Singlet E'!$H83="","",IF('Singlet E'!$C83="","",IF('Setup Bm Input'!$F$51="Net",'Singlet E'!$H83,'Singlet E'!$C83))))</f>
        <v>Error</v>
      </c>
      <c r="J32" s="368" t="str">
        <f>IF('Setup Bm Input'!$F$51="","Error",IF('Singlet E'!$D83="","",IF('Singlet E'!$I83="","",IF('Setup Bm Input'!$F$51="Net",'Singlet E'!$I83,'Singlet E'!$D83))))</f>
        <v>Error</v>
      </c>
      <c r="K32" s="368" t="str">
        <f>IF('Setup Bm Input'!$F$51="","Error",IF('Singlet E'!$J83="","",IF('Singlet E'!$E83="","",IF('Setup Bm Input'!$F$51="Net",'Singlet E'!$J83,'Singlet E'!$E83))))</f>
        <v>Error</v>
      </c>
      <c r="L32" s="368" t="str">
        <f>IF('Setup Bm Input'!$F$51="","Error",IF('Singlet E'!$K83="","",IF('Singlet E'!$F83="","",IF('Setup Bm Input'!$F$51="Net",'Singlet E'!$K83,'Singlet E'!$F83))))</f>
        <v>Error</v>
      </c>
      <c r="M32" s="493"/>
      <c r="N32" s="493"/>
      <c r="O32" s="323"/>
      <c r="P32" s="65"/>
      <c r="Q32" s="21"/>
      <c r="R32" s="21"/>
      <c r="S32" s="18"/>
      <c r="T32" s="18"/>
      <c r="U32" s="18"/>
      <c r="V32" s="18"/>
    </row>
    <row r="33" spans="1:22" ht="19.5" customHeight="1">
      <c r="A33" s="78"/>
      <c r="B33" s="493"/>
      <c r="C33" s="560" t="s">
        <v>91</v>
      </c>
      <c r="D33" s="511">
        <f>+IF('Setup Bm Input'!$B64="","",'Setup Bm Input'!$B64)</f>
      </c>
      <c r="E33" s="511">
        <f>+IF('Setup Bm Input'!$C64="","",'Setup Bm Input'!$C64)</f>
      </c>
      <c r="F33" s="511">
        <f>+IF('Setup Bm Input'!$E64="","",'Setup Bm Input'!$E64/1000000)</f>
      </c>
      <c r="G33" s="716">
        <f>+IF('Singlet F'!$F72="","",'Singlet F'!$F72)</f>
      </c>
      <c r="H33" s="368" t="str">
        <f>IF('Setup Bm Input'!$F$51="","Error",IF('Singlet E'!$G84="","",IF('Singlet E'!$B84="","",IF('Setup Bm Input'!$F$51="Net",'Singlet E'!$G84,'Singlet E'!$B84))))</f>
        <v>Error</v>
      </c>
      <c r="I33" s="368" t="str">
        <f>IF('Setup Bm Input'!$F$51="","Error",IF('Singlet E'!$H84="","",IF('Singlet E'!$C84="","",IF('Setup Bm Input'!$F$51="Net",'Singlet E'!$H84,'Singlet E'!$C84))))</f>
        <v>Error</v>
      </c>
      <c r="J33" s="368" t="str">
        <f>IF('Setup Bm Input'!$F$51="","Error",IF('Singlet E'!$D84="","",IF('Singlet E'!$I84="","",IF('Setup Bm Input'!$F$51="Net",'Singlet E'!$I84,'Singlet E'!$D84))))</f>
        <v>Error</v>
      </c>
      <c r="K33" s="368" t="str">
        <f>IF('Setup Bm Input'!$F$51="","Error",IF('Singlet E'!$J84="","",IF('Singlet E'!$E84="","",IF('Setup Bm Input'!$F$51="Net",'Singlet E'!$J84,'Singlet E'!$E84))))</f>
        <v>Error</v>
      </c>
      <c r="L33" s="368" t="str">
        <f>IF('Setup Bm Input'!$F$51="","Error",IF('Singlet E'!$K84="","",IF('Singlet E'!$F84="","",IF('Setup Bm Input'!$F$51="Net",'Singlet E'!$K84,'Singlet E'!$F84))))</f>
        <v>Error</v>
      </c>
      <c r="M33" s="493"/>
      <c r="N33" s="493"/>
      <c r="O33" s="323"/>
      <c r="P33" s="65"/>
      <c r="Q33" s="21"/>
      <c r="R33" s="21"/>
      <c r="S33" s="18"/>
      <c r="T33" s="18"/>
      <c r="U33" s="18"/>
      <c r="V33" s="18"/>
    </row>
    <row r="34" spans="1:22" ht="19.5" customHeight="1">
      <c r="A34" s="81"/>
      <c r="B34" s="493"/>
      <c r="C34" s="560" t="s">
        <v>92</v>
      </c>
      <c r="D34" s="511">
        <f>+IF('Setup Bm Input'!$B65="","",'Setup Bm Input'!$B65)</f>
      </c>
      <c r="E34" s="511">
        <f>+IF('Setup Bm Input'!$C65="","",'Setup Bm Input'!$C65)</f>
      </c>
      <c r="F34" s="511">
        <f>+IF('Setup Bm Input'!$E65="","",'Setup Bm Input'!$E65/1000000)</f>
      </c>
      <c r="G34" s="716">
        <f>+IF('Singlet F'!$F73="","",'Singlet F'!$F73)</f>
      </c>
      <c r="H34" s="368" t="str">
        <f>IF('Setup Bm Input'!$F$51="","Error",IF('Singlet E'!$G85="","",IF('Singlet E'!$B85="","",IF('Setup Bm Input'!$F$51="Net",'Singlet E'!$G85,'Singlet E'!$B85))))</f>
        <v>Error</v>
      </c>
      <c r="I34" s="368" t="str">
        <f>IF('Setup Bm Input'!$F$51="","Error",IF('Singlet E'!$H85="","",IF('Singlet E'!$C85="","",IF('Setup Bm Input'!$F$51="Net",'Singlet E'!$H85,'Singlet E'!$C85))))</f>
        <v>Error</v>
      </c>
      <c r="J34" s="368" t="str">
        <f>IF('Setup Bm Input'!$F$51="","Error",IF('Singlet E'!$D85="","",IF('Singlet E'!$I85="","",IF('Setup Bm Input'!$F$51="Net",'Singlet E'!$I85,'Singlet E'!$D85))))</f>
        <v>Error</v>
      </c>
      <c r="K34" s="368" t="str">
        <f>IF('Setup Bm Input'!$F$51="","Error",IF('Singlet E'!$J85="","",IF('Singlet E'!$E85="","",IF('Setup Bm Input'!$F$51="Net",'Singlet E'!$J85,'Singlet E'!$E85))))</f>
        <v>Error</v>
      </c>
      <c r="L34" s="368" t="str">
        <f>IF('Setup Bm Input'!$F$51="","Error",IF('Singlet E'!$K85="","",IF('Singlet E'!$F85="","",IF('Setup Bm Input'!$F$51="Net",'Singlet E'!$K85,'Singlet E'!$F85))))</f>
        <v>Error</v>
      </c>
      <c r="M34" s="493"/>
      <c r="N34" s="493"/>
      <c r="O34" s="83"/>
      <c r="P34" s="65"/>
      <c r="Q34" s="21"/>
      <c r="R34" s="21"/>
      <c r="S34" s="18"/>
      <c r="T34" s="18"/>
      <c r="U34" s="18"/>
      <c r="V34" s="18"/>
    </row>
    <row r="35" spans="1:22" ht="19.5" customHeight="1">
      <c r="A35" s="493"/>
      <c r="B35" s="493"/>
      <c r="C35" s="560" t="s">
        <v>93</v>
      </c>
      <c r="D35" s="511">
        <f>+IF('Setup Bm Input'!$B66="","",'Setup Bm Input'!$B66)</f>
      </c>
      <c r="E35" s="511">
        <f>+IF('Setup Bm Input'!$C66="","",'Setup Bm Input'!$C66)</f>
      </c>
      <c r="F35" s="511">
        <f>+IF('Setup Bm Input'!$E66="","",'Setup Bm Input'!$E66/1000000)</f>
      </c>
      <c r="G35" s="716">
        <f>+IF('Singlet F'!$F74="","",'Singlet F'!$F74)</f>
      </c>
      <c r="H35" s="368" t="str">
        <f>IF('Setup Bm Input'!$F$51="","Error",IF('Singlet E'!$G86="","",IF('Singlet E'!$B86="","",IF('Setup Bm Input'!$F$51="Net",'Singlet E'!$G86,'Singlet E'!$B86))))</f>
        <v>Error</v>
      </c>
      <c r="I35" s="368" t="str">
        <f>IF('Setup Bm Input'!$F$51="","Error",IF('Singlet E'!$H86="","",IF('Singlet E'!$C86="","",IF('Setup Bm Input'!$F$51="Net",'Singlet E'!$H86,'Singlet E'!$C86))))</f>
        <v>Error</v>
      </c>
      <c r="J35" s="368" t="str">
        <f>IF('Setup Bm Input'!$F$51="","Error",IF('Singlet E'!$D86="","",IF('Singlet E'!$I86="","",IF('Setup Bm Input'!$F$51="Net",'Singlet E'!$I86,'Singlet E'!$D86))))</f>
        <v>Error</v>
      </c>
      <c r="K35" s="368" t="str">
        <f>IF('Setup Bm Input'!$F$51="","Error",IF('Singlet E'!$J86="","",IF('Singlet E'!$E86="","",IF('Setup Bm Input'!$F$51="Net",'Singlet E'!$J86,'Singlet E'!$E86))))</f>
        <v>Error</v>
      </c>
      <c r="L35" s="368" t="str">
        <f>IF('Setup Bm Input'!$F$51="","Error",IF('Singlet E'!$K86="","",IF('Singlet E'!$F86="","",IF('Setup Bm Input'!$F$51="Net",'Singlet E'!$K86,'Singlet E'!$F86))))</f>
        <v>Error</v>
      </c>
      <c r="M35" s="493"/>
      <c r="N35" s="493"/>
      <c r="O35" s="493"/>
      <c r="P35" s="65"/>
      <c r="Q35" s="21"/>
      <c r="R35" s="21"/>
      <c r="S35" s="18"/>
      <c r="T35" s="18"/>
      <c r="U35" s="18"/>
      <c r="V35" s="18"/>
    </row>
    <row r="36" spans="1:22" ht="19.5" customHeight="1">
      <c r="A36" s="493"/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65"/>
      <c r="Q36" s="21"/>
      <c r="R36" s="21"/>
      <c r="S36" s="18"/>
      <c r="T36" s="18"/>
      <c r="U36" s="18"/>
      <c r="V36" s="18"/>
    </row>
    <row r="37" spans="1:22" ht="19.5" customHeight="1">
      <c r="A37" s="493"/>
      <c r="B37" s="493"/>
      <c r="C37" s="493"/>
      <c r="D37" s="717" t="s">
        <v>768</v>
      </c>
      <c r="E37" s="493"/>
      <c r="F37" s="493"/>
      <c r="G37" s="711" t="s">
        <v>781</v>
      </c>
      <c r="H37" s="493"/>
      <c r="I37" s="712">
        <f>+'Setup Bm Input'!$B$48-'Setup Bm Input'!$B$50</f>
        <v>0</v>
      </c>
      <c r="J37" s="493"/>
      <c r="K37" s="718" t="s">
        <v>768</v>
      </c>
      <c r="L37" s="493"/>
      <c r="M37" s="493"/>
      <c r="N37" s="493"/>
      <c r="O37" s="493"/>
      <c r="P37" s="65"/>
      <c r="Q37" s="21"/>
      <c r="R37" s="21"/>
      <c r="S37" s="18"/>
      <c r="T37" s="18"/>
      <c r="U37" s="18"/>
      <c r="V37" s="18"/>
    </row>
    <row r="38" spans="1:22" ht="19.5" customHeight="1" thickBot="1">
      <c r="A38" s="493"/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65"/>
      <c r="Q38" s="21"/>
      <c r="R38" s="21"/>
      <c r="S38" s="18"/>
      <c r="T38" s="18"/>
      <c r="U38" s="18"/>
      <c r="V38" s="18"/>
    </row>
    <row r="39" spans="1:22" ht="19.5" customHeight="1" thickBot="1">
      <c r="A39" s="81"/>
      <c r="B39" s="332" t="s">
        <v>115</v>
      </c>
      <c r="C39" s="79" t="s">
        <v>595</v>
      </c>
      <c r="D39" s="329"/>
      <c r="E39" s="363" t="s">
        <v>115</v>
      </c>
      <c r="F39" s="79" t="s">
        <v>596</v>
      </c>
      <c r="G39" s="81"/>
      <c r="H39" s="332" t="s">
        <v>115</v>
      </c>
      <c r="I39" s="79" t="s">
        <v>597</v>
      </c>
      <c r="J39" s="329"/>
      <c r="K39" s="332" t="s">
        <v>115</v>
      </c>
      <c r="L39" s="330" t="s">
        <v>598</v>
      </c>
      <c r="M39" s="493"/>
      <c r="N39" s="332" t="s">
        <v>115</v>
      </c>
      <c r="O39" s="79" t="s">
        <v>599</v>
      </c>
      <c r="P39" s="65"/>
      <c r="Q39" s="21"/>
      <c r="R39" s="21"/>
      <c r="S39" s="18"/>
      <c r="T39" s="18"/>
      <c r="U39" s="18"/>
      <c r="V39" s="18"/>
    </row>
    <row r="40" spans="1:22" ht="19.5" customHeight="1" thickBot="1">
      <c r="A40" s="81"/>
      <c r="B40" s="333"/>
      <c r="C40" s="79" t="str">
        <f>IF('Setup Bm Input'!$F$51="Net","Net El.","Gross El.")</f>
        <v>Gross El.</v>
      </c>
      <c r="D40" s="329"/>
      <c r="E40" s="364"/>
      <c r="F40" s="79" t="str">
        <f>IF('Setup Bm Input'!$F$51="Net","Net El.","Gross El.")</f>
        <v>Gross El.</v>
      </c>
      <c r="G40" s="81"/>
      <c r="H40" s="333"/>
      <c r="I40" s="79" t="str">
        <f>IF('Setup Bm Input'!$F$51="Net","Net El.","Gross El.")</f>
        <v>Gross El.</v>
      </c>
      <c r="J40" s="331"/>
      <c r="K40" s="333"/>
      <c r="L40" s="79" t="str">
        <f>IF('Setup Bm Input'!$F$51="Net","Net El.","Gross El.")</f>
        <v>Gross El.</v>
      </c>
      <c r="M40" s="493"/>
      <c r="N40" s="333"/>
      <c r="O40" s="79" t="str">
        <f>IF('Setup Bm Input'!$F$51="Net","Net El.","Gross El.")</f>
        <v>Gross El.</v>
      </c>
      <c r="P40" s="65"/>
      <c r="Q40" s="21"/>
      <c r="R40" s="21"/>
      <c r="S40" s="18"/>
      <c r="T40" s="18"/>
      <c r="U40" s="18"/>
      <c r="V40" s="18"/>
    </row>
    <row r="41" spans="1:22" ht="19.5" customHeight="1" thickBot="1">
      <c r="A41" s="78">
        <f>IF(B41="","",1)</f>
      </c>
      <c r="B41" s="729"/>
      <c r="C41" s="75"/>
      <c r="D41" s="323">
        <f>IF(E41="","",1)</f>
      </c>
      <c r="E41" s="740"/>
      <c r="F41" s="75"/>
      <c r="G41" s="82">
        <f>IF(H41="","",1)</f>
      </c>
      <c r="H41" s="729"/>
      <c r="I41" s="75"/>
      <c r="J41" s="82">
        <f>IF(K41="","",1)</f>
      </c>
      <c r="K41" s="729"/>
      <c r="L41" s="144"/>
      <c r="M41" s="82">
        <f>IF(N41="","",1)</f>
      </c>
      <c r="N41" s="729"/>
      <c r="O41" s="144"/>
      <c r="P41" s="65"/>
      <c r="Q41" s="21"/>
      <c r="R41" s="21"/>
      <c r="S41" s="18"/>
      <c r="T41" s="18"/>
      <c r="U41" s="18"/>
      <c r="V41" s="18"/>
    </row>
    <row r="42" spans="1:22" ht="19.5" customHeight="1" thickBot="1">
      <c r="A42" s="78">
        <f>IF(B42="","",A41+1)</f>
      </c>
      <c r="B42" s="729"/>
      <c r="C42" s="75"/>
      <c r="D42" s="323">
        <f aca="true" t="shared" si="0" ref="D42:D52">IF(E42="","",D41+1)</f>
      </c>
      <c r="E42" s="740"/>
      <c r="F42" s="75"/>
      <c r="G42" s="82">
        <f>IF(H42="","",G41+1)</f>
      </c>
      <c r="H42" s="729"/>
      <c r="I42" s="75"/>
      <c r="J42" s="82">
        <f>IF(K42="","",J41+1)</f>
      </c>
      <c r="K42" s="729"/>
      <c r="L42" s="144"/>
      <c r="M42" s="82">
        <f>IF(N42="","",M41+1)</f>
      </c>
      <c r="N42" s="729"/>
      <c r="O42" s="144"/>
      <c r="P42" s="65"/>
      <c r="Q42" s="21"/>
      <c r="R42" s="21"/>
      <c r="S42" s="18"/>
      <c r="T42" s="18"/>
      <c r="U42" s="18"/>
      <c r="V42" s="18"/>
    </row>
    <row r="43" spans="1:22" ht="19.5" customHeight="1" thickBot="1">
      <c r="A43" s="78">
        <f aca="true" t="shared" si="1" ref="A43:A52">IF(B43="","",A42+1)</f>
      </c>
      <c r="B43" s="729"/>
      <c r="C43" s="75"/>
      <c r="D43" s="323">
        <f t="shared" si="0"/>
      </c>
      <c r="E43" s="740"/>
      <c r="F43" s="75"/>
      <c r="G43" s="82">
        <f aca="true" t="shared" si="2" ref="G43:G48">IF(H43="","",G42+1)</f>
      </c>
      <c r="H43" s="729"/>
      <c r="I43" s="75"/>
      <c r="J43" s="82">
        <f>IF(K43="","",J42+1)</f>
      </c>
      <c r="K43" s="729"/>
      <c r="L43" s="144"/>
      <c r="M43" s="82">
        <f>IF(N43="","",M42+1)</f>
      </c>
      <c r="N43" s="729"/>
      <c r="O43" s="144"/>
      <c r="P43" s="65"/>
      <c r="Q43" s="21"/>
      <c r="R43" s="21"/>
      <c r="S43" s="18"/>
      <c r="T43" s="18"/>
      <c r="U43" s="18"/>
      <c r="V43" s="18"/>
    </row>
    <row r="44" spans="1:22" ht="19.5" customHeight="1" thickBot="1">
      <c r="A44" s="78">
        <f t="shared" si="1"/>
      </c>
      <c r="B44" s="729"/>
      <c r="C44" s="75"/>
      <c r="D44" s="323">
        <f t="shared" si="0"/>
      </c>
      <c r="E44" s="740"/>
      <c r="F44" s="75"/>
      <c r="G44" s="82">
        <f t="shared" si="2"/>
      </c>
      <c r="H44" s="729"/>
      <c r="I44" s="75"/>
      <c r="J44" s="82">
        <f>IF(K44="","",J43+1)</f>
      </c>
      <c r="K44" s="729"/>
      <c r="L44" s="144"/>
      <c r="M44" s="82">
        <f>IF(N44="","",M43+1)</f>
      </c>
      <c r="N44" s="729"/>
      <c r="O44" s="144"/>
      <c r="P44" s="65"/>
      <c r="Q44" s="21"/>
      <c r="R44" s="21"/>
      <c r="S44" s="18"/>
      <c r="T44" s="18"/>
      <c r="U44" s="18"/>
      <c r="V44" s="18"/>
    </row>
    <row r="45" spans="1:22" ht="19.5" customHeight="1" thickBot="1">
      <c r="A45" s="78">
        <f t="shared" si="1"/>
      </c>
      <c r="B45" s="729"/>
      <c r="C45" s="75"/>
      <c r="D45" s="323">
        <f t="shared" si="0"/>
      </c>
      <c r="E45" s="740"/>
      <c r="F45" s="75"/>
      <c r="G45" s="82">
        <f t="shared" si="2"/>
      </c>
      <c r="H45" s="729"/>
      <c r="I45" s="75"/>
      <c r="J45" s="82">
        <f>IF(K45="","",J44+1)</f>
      </c>
      <c r="K45" s="729"/>
      <c r="L45" s="144"/>
      <c r="M45" s="493"/>
      <c r="N45" s="493"/>
      <c r="O45" s="493"/>
      <c r="P45" s="65"/>
      <c r="Q45" s="21"/>
      <c r="R45" s="21"/>
      <c r="S45" s="18"/>
      <c r="T45" s="18"/>
      <c r="U45" s="18"/>
      <c r="V45" s="18"/>
    </row>
    <row r="46" spans="1:22" ht="19.5" customHeight="1" thickBot="1">
      <c r="A46" s="78">
        <f t="shared" si="1"/>
      </c>
      <c r="B46" s="729"/>
      <c r="C46" s="75"/>
      <c r="D46" s="323">
        <f t="shared" si="0"/>
      </c>
      <c r="E46" s="740"/>
      <c r="F46" s="75"/>
      <c r="G46" s="82">
        <f t="shared" si="2"/>
      </c>
      <c r="H46" s="729"/>
      <c r="I46" s="75"/>
      <c r="J46" s="82">
        <f>IF(K46="","",J45+1)</f>
      </c>
      <c r="K46" s="729"/>
      <c r="L46" s="144"/>
      <c r="M46" s="493"/>
      <c r="N46" s="493"/>
      <c r="O46" s="493"/>
      <c r="P46" s="65"/>
      <c r="Q46" s="21"/>
      <c r="R46" s="21"/>
      <c r="S46" s="18"/>
      <c r="T46" s="18"/>
      <c r="U46" s="18"/>
      <c r="V46" s="18"/>
    </row>
    <row r="47" spans="1:22" ht="19.5" customHeight="1" thickBot="1">
      <c r="A47" s="78">
        <f t="shared" si="1"/>
      </c>
      <c r="B47" s="729"/>
      <c r="C47" s="75"/>
      <c r="D47" s="323">
        <f t="shared" si="0"/>
      </c>
      <c r="E47" s="740"/>
      <c r="F47" s="75"/>
      <c r="G47" s="82">
        <f t="shared" si="2"/>
      </c>
      <c r="H47" s="729"/>
      <c r="I47" s="75"/>
      <c r="J47" s="493"/>
      <c r="K47" s="493"/>
      <c r="L47" s="493"/>
      <c r="M47" s="493"/>
      <c r="N47" s="493"/>
      <c r="O47" s="493"/>
      <c r="P47" s="65"/>
      <c r="Q47" s="21"/>
      <c r="R47" s="21"/>
      <c r="S47" s="18"/>
      <c r="T47" s="18"/>
      <c r="U47" s="18"/>
      <c r="V47" s="18"/>
    </row>
    <row r="48" spans="1:22" ht="19.5" customHeight="1" thickBot="1">
      <c r="A48" s="78">
        <f t="shared" si="1"/>
      </c>
      <c r="B48" s="729"/>
      <c r="C48" s="75"/>
      <c r="D48" s="323">
        <f t="shared" si="0"/>
      </c>
      <c r="E48" s="740"/>
      <c r="F48" s="75"/>
      <c r="G48" s="82">
        <f t="shared" si="2"/>
      </c>
      <c r="H48" s="729"/>
      <c r="I48" s="75"/>
      <c r="J48" s="493"/>
      <c r="K48" s="493"/>
      <c r="L48" s="493"/>
      <c r="M48" s="493"/>
      <c r="N48" s="493"/>
      <c r="O48" s="493"/>
      <c r="P48" s="65"/>
      <c r="Q48" s="21"/>
      <c r="R48" s="21"/>
      <c r="S48" s="18"/>
      <c r="T48" s="18"/>
      <c r="U48" s="18"/>
      <c r="V48" s="18"/>
    </row>
    <row r="49" spans="1:22" ht="19.5" customHeight="1" thickBot="1">
      <c r="A49" s="78">
        <f t="shared" si="1"/>
      </c>
      <c r="B49" s="729"/>
      <c r="C49" s="75"/>
      <c r="D49" s="323">
        <f t="shared" si="0"/>
      </c>
      <c r="E49" s="740"/>
      <c r="F49" s="75"/>
      <c r="G49" s="493"/>
      <c r="H49" s="493"/>
      <c r="I49" s="493"/>
      <c r="J49" s="493"/>
      <c r="K49" s="493"/>
      <c r="L49" s="493"/>
      <c r="M49" s="493"/>
      <c r="N49" s="493"/>
      <c r="O49" s="493"/>
      <c r="P49" s="65"/>
      <c r="Q49" s="21"/>
      <c r="R49" s="21"/>
      <c r="S49" s="18"/>
      <c r="T49" s="18"/>
      <c r="U49" s="18"/>
      <c r="V49" s="18"/>
    </row>
    <row r="50" spans="1:22" ht="19.5" customHeight="1" thickBot="1">
      <c r="A50" s="78">
        <f t="shared" si="1"/>
      </c>
      <c r="B50" s="729"/>
      <c r="C50" s="75"/>
      <c r="D50" s="323">
        <f t="shared" si="0"/>
      </c>
      <c r="E50" s="740"/>
      <c r="F50" s="75"/>
      <c r="G50" s="493"/>
      <c r="H50" s="332" t="s">
        <v>115</v>
      </c>
      <c r="I50" s="79" t="s">
        <v>749</v>
      </c>
      <c r="J50" s="329"/>
      <c r="K50" s="332" t="s">
        <v>115</v>
      </c>
      <c r="L50" s="330" t="s">
        <v>750</v>
      </c>
      <c r="M50" s="493"/>
      <c r="N50" s="332" t="s">
        <v>115</v>
      </c>
      <c r="O50" s="79" t="s">
        <v>751</v>
      </c>
      <c r="P50" s="65"/>
      <c r="Q50" s="21"/>
      <c r="R50" s="21"/>
      <c r="S50" s="18"/>
      <c r="T50" s="18"/>
      <c r="U50" s="18"/>
      <c r="V50" s="18"/>
    </row>
    <row r="51" spans="1:22" ht="19.5" customHeight="1" thickBot="1">
      <c r="A51" s="78">
        <f t="shared" si="1"/>
      </c>
      <c r="B51" s="729"/>
      <c r="C51" s="75"/>
      <c r="D51" s="323">
        <f t="shared" si="0"/>
      </c>
      <c r="E51" s="740"/>
      <c r="F51" s="75"/>
      <c r="G51" s="493"/>
      <c r="H51" s="333"/>
      <c r="I51" s="79" t="str">
        <f>IF('Setup Bm Input'!$F$51="Net","Net El.","Gross El.")</f>
        <v>Gross El.</v>
      </c>
      <c r="J51" s="329"/>
      <c r="K51" s="333"/>
      <c r="L51" s="79" t="str">
        <f>IF('Setup Bm Input'!$F$51="Net","Net El.","Gross El.")</f>
        <v>Gross El.</v>
      </c>
      <c r="M51" s="493"/>
      <c r="N51" s="333"/>
      <c r="O51" s="79" t="str">
        <f>IF('Setup Bm Input'!$F$51="Net","Net El.","Gross El.")</f>
        <v>Gross El.</v>
      </c>
      <c r="P51" s="65"/>
      <c r="Q51" s="21"/>
      <c r="R51" s="21"/>
      <c r="S51" s="18"/>
      <c r="T51" s="18"/>
      <c r="U51" s="18"/>
      <c r="V51" s="18"/>
    </row>
    <row r="52" spans="1:22" ht="19.5" customHeight="1" thickBot="1">
      <c r="A52" s="78">
        <f t="shared" si="1"/>
      </c>
      <c r="B52" s="729"/>
      <c r="C52" s="328"/>
      <c r="D52" s="323">
        <f t="shared" si="0"/>
      </c>
      <c r="E52" s="740"/>
      <c r="F52" s="328"/>
      <c r="G52" s="82">
        <f>IF(H52="","",1)</f>
      </c>
      <c r="H52" s="729"/>
      <c r="I52" s="75"/>
      <c r="J52" s="82">
        <f>IF(K52="","",1)</f>
      </c>
      <c r="K52" s="729"/>
      <c r="L52" s="144"/>
      <c r="M52" s="82">
        <f>IF(N52="","",1)</f>
      </c>
      <c r="N52" s="729"/>
      <c r="O52" s="144"/>
      <c r="P52" s="65"/>
      <c r="Q52" s="21"/>
      <c r="R52" s="21"/>
      <c r="S52" s="18"/>
      <c r="T52" s="18"/>
      <c r="U52" s="18"/>
      <c r="V52" s="18"/>
    </row>
    <row r="53" spans="1:22" ht="19.5" customHeight="1" thickBot="1">
      <c r="A53" s="323"/>
      <c r="B53" s="327"/>
      <c r="C53" s="329"/>
      <c r="D53" s="323"/>
      <c r="E53" s="327"/>
      <c r="F53" s="329"/>
      <c r="G53" s="82">
        <f>IF(H53="","",G52+1)</f>
      </c>
      <c r="H53" s="729"/>
      <c r="I53" s="75"/>
      <c r="J53" s="82">
        <f>IF(K53="","",J52+1)</f>
      </c>
      <c r="K53" s="729"/>
      <c r="L53" s="144"/>
      <c r="M53" s="82">
        <f>IF(N53="","",M52+1)</f>
      </c>
      <c r="N53" s="729"/>
      <c r="O53" s="144"/>
      <c r="P53" s="65"/>
      <c r="Q53" s="21"/>
      <c r="R53" s="21"/>
      <c r="S53" s="18"/>
      <c r="T53" s="18"/>
      <c r="U53" s="18"/>
      <c r="V53" s="18"/>
    </row>
    <row r="54" spans="1:22" ht="19.5" customHeight="1">
      <c r="A54" s="493"/>
      <c r="B54" s="347" t="s">
        <v>756</v>
      </c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65"/>
      <c r="Q54" s="21"/>
      <c r="R54" s="21"/>
      <c r="S54" s="18"/>
      <c r="T54" s="18"/>
      <c r="U54" s="18"/>
      <c r="V54" s="18"/>
    </row>
    <row r="55" spans="1:22" ht="19.5" customHeight="1">
      <c r="A55" s="493"/>
      <c r="B55" s="493"/>
      <c r="C55" s="329"/>
      <c r="D55" s="329"/>
      <c r="E55" s="32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65"/>
      <c r="Q55" s="21"/>
      <c r="R55" s="21"/>
      <c r="S55" s="18"/>
      <c r="T55" s="18"/>
      <c r="U55" s="18"/>
      <c r="V55" s="18"/>
    </row>
    <row r="56" spans="1:22" ht="19.5" customHeight="1">
      <c r="A56" s="493"/>
      <c r="B56" s="493"/>
      <c r="C56" s="493"/>
      <c r="D56" s="717" t="s">
        <v>767</v>
      </c>
      <c r="E56" s="493"/>
      <c r="F56" s="493"/>
      <c r="G56" s="711" t="s">
        <v>782</v>
      </c>
      <c r="H56" s="493"/>
      <c r="I56" s="712">
        <f>+'Setup Bm Input'!$B$50</f>
        <v>0</v>
      </c>
      <c r="J56" s="493"/>
      <c r="K56" s="718" t="s">
        <v>767</v>
      </c>
      <c r="L56" s="493"/>
      <c r="M56" s="493"/>
      <c r="N56" s="493"/>
      <c r="O56" s="493"/>
      <c r="P56" s="65"/>
      <c r="Q56" s="21"/>
      <c r="R56" s="21"/>
      <c r="S56" s="18"/>
      <c r="T56" s="18"/>
      <c r="U56" s="18"/>
      <c r="V56" s="18"/>
    </row>
    <row r="57" spans="1:22" ht="19.5" customHeight="1" thickBot="1">
      <c r="A57" s="493"/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65"/>
      <c r="Q57" s="21"/>
      <c r="R57" s="21"/>
      <c r="S57" s="18"/>
      <c r="T57" s="18"/>
      <c r="U57" s="18"/>
      <c r="V57" s="18"/>
    </row>
    <row r="58" spans="1:22" ht="19.5" customHeight="1" thickBot="1">
      <c r="A58" s="493"/>
      <c r="B58" s="332" t="s">
        <v>115</v>
      </c>
      <c r="C58" s="79" t="s">
        <v>759</v>
      </c>
      <c r="D58" s="329"/>
      <c r="E58" s="332" t="s">
        <v>115</v>
      </c>
      <c r="F58" s="330" t="s">
        <v>760</v>
      </c>
      <c r="G58" s="493"/>
      <c r="H58" s="332" t="s">
        <v>115</v>
      </c>
      <c r="I58" s="79" t="s">
        <v>761</v>
      </c>
      <c r="J58" s="493"/>
      <c r="K58" s="332" t="s">
        <v>115</v>
      </c>
      <c r="L58" s="79" t="s">
        <v>762</v>
      </c>
      <c r="M58" s="81"/>
      <c r="N58" s="332" t="s">
        <v>115</v>
      </c>
      <c r="O58" s="79" t="s">
        <v>763</v>
      </c>
      <c r="P58" s="65"/>
      <c r="Q58" s="21"/>
      <c r="R58" s="21"/>
      <c r="S58" s="18"/>
      <c r="T58" s="18"/>
      <c r="U58" s="18"/>
      <c r="V58" s="18"/>
    </row>
    <row r="59" spans="1:22" ht="19.5" customHeight="1" thickBot="1">
      <c r="A59" s="493"/>
      <c r="B59" s="333"/>
      <c r="C59" s="79" t="str">
        <f>IF('Setup Bm Input'!$F$51="Net","Net El.","Gross El.")</f>
        <v>Gross El.</v>
      </c>
      <c r="D59" s="329"/>
      <c r="E59" s="333"/>
      <c r="F59" s="79" t="str">
        <f>IF('Setup Bm Input'!$F$51="Net","Net El.","Gross El.")</f>
        <v>Gross El.</v>
      </c>
      <c r="G59" s="493"/>
      <c r="H59" s="333"/>
      <c r="I59" s="79" t="str">
        <f>IF('Setup Bm Input'!$F$51="Net","Net El.","Gross El.")</f>
        <v>Gross El.</v>
      </c>
      <c r="J59" s="493"/>
      <c r="K59" s="333"/>
      <c r="L59" s="79" t="str">
        <f>IF('Setup Bm Input'!$F$51="Net","Net El.","Gross El.")</f>
        <v>Gross El.</v>
      </c>
      <c r="M59" s="81"/>
      <c r="N59" s="333"/>
      <c r="O59" s="79" t="str">
        <f>IF('Setup Bm Input'!$F$51="Net","Net El.","Gross El.")</f>
        <v>Gross El.</v>
      </c>
      <c r="P59" s="65"/>
      <c r="Q59" s="21"/>
      <c r="R59" s="21"/>
      <c r="S59" s="18"/>
      <c r="T59" s="18"/>
      <c r="U59" s="18"/>
      <c r="V59" s="18"/>
    </row>
    <row r="60" spans="1:22" ht="19.5" customHeight="1" thickBot="1">
      <c r="A60" s="82">
        <f>IF(B60="","",1)</f>
      </c>
      <c r="B60" s="729"/>
      <c r="C60" s="75"/>
      <c r="D60" s="82">
        <f>IF(E60="","",1)</f>
      </c>
      <c r="E60" s="729"/>
      <c r="F60" s="144"/>
      <c r="G60" s="82">
        <f>IF(H60="","",1)</f>
      </c>
      <c r="H60" s="729"/>
      <c r="I60" s="144"/>
      <c r="J60" s="82">
        <f>IF(K60="","",1)</f>
      </c>
      <c r="K60" s="729"/>
      <c r="L60" s="144"/>
      <c r="M60" s="82">
        <f>IF(N60="","",1)</f>
      </c>
      <c r="N60" s="729"/>
      <c r="O60" s="75"/>
      <c r="P60" s="65"/>
      <c r="Q60" s="21"/>
      <c r="R60" s="21"/>
      <c r="S60" s="18"/>
      <c r="T60" s="18"/>
      <c r="U60" s="18"/>
      <c r="V60" s="18"/>
    </row>
    <row r="61" spans="1:22" ht="19.5" customHeight="1" thickBot="1">
      <c r="A61" s="82">
        <f>IF(B61="","",A60+1)</f>
      </c>
      <c r="B61" s="729"/>
      <c r="C61" s="75"/>
      <c r="D61" s="82">
        <f>IF(E61="","",D60+1)</f>
      </c>
      <c r="E61" s="729"/>
      <c r="F61" s="144"/>
      <c r="G61" s="82">
        <f>IF(H61="","",G60+1)</f>
      </c>
      <c r="H61" s="729"/>
      <c r="I61" s="144"/>
      <c r="J61" s="82">
        <f>IF(K61="","",J60+1)</f>
      </c>
      <c r="K61" s="729"/>
      <c r="L61" s="144"/>
      <c r="M61" s="82">
        <f>IF(N61="","",M60+1)</f>
      </c>
      <c r="N61" s="729"/>
      <c r="O61" s="75"/>
      <c r="P61" s="65"/>
      <c r="Q61" s="21"/>
      <c r="R61" s="21"/>
      <c r="S61" s="18"/>
      <c r="T61" s="18"/>
      <c r="U61" s="18"/>
      <c r="V61" s="18"/>
    </row>
    <row r="62" spans="1:22" ht="19.5" customHeight="1" thickBot="1">
      <c r="A62" s="493"/>
      <c r="B62" s="493"/>
      <c r="C62" s="493"/>
      <c r="D62" s="493"/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65"/>
      <c r="Q62" s="21"/>
      <c r="R62" s="21"/>
      <c r="S62" s="18"/>
      <c r="T62" s="18"/>
      <c r="U62" s="18"/>
      <c r="V62" s="18"/>
    </row>
    <row r="63" spans="1:22" ht="19.5" customHeight="1" thickBot="1">
      <c r="A63" s="329"/>
      <c r="B63" s="332" t="s">
        <v>115</v>
      </c>
      <c r="C63" s="79" t="s">
        <v>764</v>
      </c>
      <c r="D63" s="329"/>
      <c r="E63" s="332" t="s">
        <v>115</v>
      </c>
      <c r="F63" s="330" t="s">
        <v>765</v>
      </c>
      <c r="G63" s="493"/>
      <c r="H63" s="332" t="s">
        <v>115</v>
      </c>
      <c r="I63" s="79" t="s">
        <v>766</v>
      </c>
      <c r="J63" s="493"/>
      <c r="K63" s="493"/>
      <c r="L63" s="986" t="s">
        <v>815</v>
      </c>
      <c r="M63" s="329"/>
      <c r="N63" s="329"/>
      <c r="O63" s="329"/>
      <c r="P63" s="65"/>
      <c r="Q63" s="21"/>
      <c r="R63" s="21"/>
      <c r="S63" s="18"/>
      <c r="T63" s="18"/>
      <c r="U63" s="18"/>
      <c r="V63" s="18"/>
    </row>
    <row r="64" spans="1:22" ht="19.5" customHeight="1" thickBot="1">
      <c r="A64" s="329"/>
      <c r="B64" s="333"/>
      <c r="C64" s="79" t="str">
        <f>IF('Setup Bm Input'!$F$51="Net","Net El.","Gross El.")</f>
        <v>Gross El.</v>
      </c>
      <c r="D64" s="329"/>
      <c r="E64" s="333"/>
      <c r="F64" s="79" t="str">
        <f>IF('Setup Bm Input'!$F$51="Net","Net El.","Gross El.")</f>
        <v>Gross El.</v>
      </c>
      <c r="G64" s="493"/>
      <c r="H64" s="333"/>
      <c r="I64" s="79" t="str">
        <f>IF('Setup Bm Input'!$F$51="Net","Net El.","Gross El.")</f>
        <v>Gross El.</v>
      </c>
      <c r="J64" s="493"/>
      <c r="K64" s="493"/>
      <c r="L64" s="987" t="s">
        <v>816</v>
      </c>
      <c r="M64" s="493"/>
      <c r="N64" s="493"/>
      <c r="O64" s="329"/>
      <c r="P64" s="65"/>
      <c r="Q64" s="21"/>
      <c r="R64" s="21"/>
      <c r="S64" s="18"/>
      <c r="T64" s="18"/>
      <c r="U64" s="18"/>
      <c r="V64" s="18"/>
    </row>
    <row r="65" spans="1:22" ht="19.5" customHeight="1" thickBot="1">
      <c r="A65" s="82">
        <f>IF(B65="","",1)</f>
      </c>
      <c r="B65" s="729"/>
      <c r="C65" s="75"/>
      <c r="D65" s="82">
        <f>IF(E65="","",1)</f>
      </c>
      <c r="E65" s="729"/>
      <c r="F65" s="144"/>
      <c r="G65" s="82">
        <f>IF(H65="","",1)</f>
      </c>
      <c r="H65" s="729"/>
      <c r="I65" s="144"/>
      <c r="J65" s="493"/>
      <c r="K65" s="493"/>
      <c r="L65" s="987" t="s">
        <v>817</v>
      </c>
      <c r="M65" s="493"/>
      <c r="N65" s="493"/>
      <c r="O65" s="327"/>
      <c r="P65" s="65"/>
      <c r="Q65" s="21"/>
      <c r="R65" s="21"/>
      <c r="S65" s="18"/>
      <c r="T65" s="18"/>
      <c r="U65" s="18"/>
      <c r="V65" s="18"/>
    </row>
    <row r="66" spans="1:22" ht="19.5" customHeight="1" thickBot="1">
      <c r="A66" s="82">
        <f>IF(B66="","",A65+1)</f>
      </c>
      <c r="B66" s="729"/>
      <c r="C66" s="75"/>
      <c r="D66" s="82">
        <f>IF(E66="","",D65+1)</f>
      </c>
      <c r="E66" s="729"/>
      <c r="F66" s="144"/>
      <c r="G66" s="82">
        <f>IF(H66="","",G65+1)</f>
      </c>
      <c r="H66" s="729"/>
      <c r="I66" s="144"/>
      <c r="J66" s="493"/>
      <c r="K66" s="493"/>
      <c r="L66" s="988" t="s">
        <v>820</v>
      </c>
      <c r="M66" s="493"/>
      <c r="N66" s="493"/>
      <c r="O66" s="327"/>
      <c r="P66" s="65"/>
      <c r="Q66" s="21"/>
      <c r="R66" s="21"/>
      <c r="S66" s="18"/>
      <c r="T66" s="18"/>
      <c r="U66" s="18"/>
      <c r="V66" s="18"/>
    </row>
    <row r="67" spans="1:22" ht="19.5" customHeight="1" thickBot="1">
      <c r="A67" s="82"/>
      <c r="B67" s="545"/>
      <c r="C67" s="545"/>
      <c r="D67" s="545"/>
      <c r="E67" s="545"/>
      <c r="F67" s="329"/>
      <c r="G67" s="329"/>
      <c r="H67" s="329"/>
      <c r="I67" s="329"/>
      <c r="J67" s="131"/>
      <c r="K67" s="255"/>
      <c r="L67" s="991" t="str">
        <f>+IF('Setup Bm Input'!B46="","No Input",'Setup Bm Input'!B46)</f>
        <v>No Input</v>
      </c>
      <c r="M67" s="131"/>
      <c r="N67" s="345"/>
      <c r="O67" s="70"/>
      <c r="P67" s="65"/>
      <c r="Q67" s="21"/>
      <c r="R67" s="21"/>
      <c r="S67" s="18"/>
      <c r="T67" s="18"/>
      <c r="U67" s="18"/>
      <c r="V67" s="18"/>
    </row>
    <row r="68" spans="1:22" ht="19.5" customHeight="1">
      <c r="A68" s="82"/>
      <c r="B68" s="347" t="s">
        <v>758</v>
      </c>
      <c r="C68" s="493"/>
      <c r="D68" s="329"/>
      <c r="E68" s="329"/>
      <c r="F68" s="329"/>
      <c r="G68" s="327"/>
      <c r="H68" s="720"/>
      <c r="I68" s="720"/>
      <c r="J68" s="545"/>
      <c r="K68" s="493"/>
      <c r="L68" s="493"/>
      <c r="M68" s="493"/>
      <c r="N68" s="493"/>
      <c r="O68" s="493"/>
      <c r="P68" s="65"/>
      <c r="Q68" s="21"/>
      <c r="R68" s="21"/>
      <c r="S68" s="18"/>
      <c r="T68" s="18"/>
      <c r="U68" s="18"/>
      <c r="V68" s="18"/>
    </row>
    <row r="69" spans="1:22" ht="19.5" customHeight="1">
      <c r="A69" s="545"/>
      <c r="B69" s="493"/>
      <c r="C69" s="493"/>
      <c r="D69" s="493"/>
      <c r="E69" s="493"/>
      <c r="F69" s="493"/>
      <c r="G69" s="493"/>
      <c r="H69" s="493"/>
      <c r="I69" s="493"/>
      <c r="J69" s="493"/>
      <c r="K69" s="493"/>
      <c r="L69" s="493"/>
      <c r="M69" s="493"/>
      <c r="N69" s="493"/>
      <c r="O69" s="493"/>
      <c r="P69" s="65"/>
      <c r="Q69" s="21"/>
      <c r="R69" s="21"/>
      <c r="S69" s="18"/>
      <c r="T69" s="18"/>
      <c r="U69" s="18"/>
      <c r="V69" s="18"/>
    </row>
    <row r="70" spans="1:22" ht="19.5" customHeight="1">
      <c r="A70" s="78">
        <f>IF(B73="","",#REF!+1)</f>
      </c>
      <c r="B70" s="493"/>
      <c r="C70" s="493"/>
      <c r="D70" s="588"/>
      <c r="E70" s="588"/>
      <c r="F70" s="588"/>
      <c r="G70" s="721" t="s">
        <v>695</v>
      </c>
      <c r="H70" s="588"/>
      <c r="I70" s="588"/>
      <c r="J70" s="588"/>
      <c r="K70" s="588"/>
      <c r="L70" s="493"/>
      <c r="M70" s="722"/>
      <c r="N70" s="720"/>
      <c r="O70" s="493"/>
      <c r="P70" s="65"/>
      <c r="Q70" s="21"/>
      <c r="R70" s="21"/>
      <c r="S70" s="18"/>
      <c r="T70" s="18"/>
      <c r="U70" s="18"/>
      <c r="V70" s="18"/>
    </row>
    <row r="71" spans="1:22" ht="19.5" customHeight="1">
      <c r="A71" s="78">
        <f>IF(B74="","",A70+1)</f>
      </c>
      <c r="B71" s="493"/>
      <c r="C71" s="493"/>
      <c r="D71" s="588"/>
      <c r="E71" s="588"/>
      <c r="F71" s="588"/>
      <c r="G71" s="588"/>
      <c r="H71" s="588"/>
      <c r="I71" s="588"/>
      <c r="J71" s="588"/>
      <c r="K71" s="588"/>
      <c r="L71" s="493"/>
      <c r="M71" s="722"/>
      <c r="N71" s="720"/>
      <c r="O71" s="493"/>
      <c r="P71" s="65"/>
      <c r="Q71" s="21"/>
      <c r="R71" s="21"/>
      <c r="S71" s="18"/>
      <c r="T71" s="18"/>
      <c r="U71" s="18"/>
      <c r="V71" s="18"/>
    </row>
    <row r="72" spans="1:22" ht="19.5" customHeight="1">
      <c r="A72" s="493"/>
      <c r="B72" s="493"/>
      <c r="C72" s="493"/>
      <c r="D72" s="723" t="s">
        <v>696</v>
      </c>
      <c r="E72" s="724"/>
      <c r="F72" s="725" t="s">
        <v>697</v>
      </c>
      <c r="G72" s="725"/>
      <c r="H72" s="724"/>
      <c r="I72" s="725" t="s">
        <v>698</v>
      </c>
      <c r="J72" s="725"/>
      <c r="K72" s="726"/>
      <c r="L72" s="493"/>
      <c r="M72" s="493"/>
      <c r="N72" s="493"/>
      <c r="O72" s="493"/>
      <c r="P72" s="65"/>
      <c r="Q72" s="21"/>
      <c r="R72" s="21"/>
      <c r="S72" s="18"/>
      <c r="T72" s="18"/>
      <c r="U72" s="18"/>
      <c r="V72" s="18"/>
    </row>
    <row r="73" spans="1:22" ht="19.5" customHeight="1">
      <c r="A73" s="493"/>
      <c r="B73" s="327"/>
      <c r="C73" s="493"/>
      <c r="D73" s="730"/>
      <c r="E73" s="731"/>
      <c r="F73" s="732"/>
      <c r="G73" s="732"/>
      <c r="H73" s="731"/>
      <c r="I73" s="733"/>
      <c r="J73" s="733"/>
      <c r="K73" s="734"/>
      <c r="L73" s="493"/>
      <c r="M73" s="493"/>
      <c r="N73" s="493"/>
      <c r="O73" s="493"/>
      <c r="P73" s="65"/>
      <c r="Q73" s="21"/>
      <c r="R73" s="21"/>
      <c r="S73" s="18"/>
      <c r="T73" s="18"/>
      <c r="U73" s="18"/>
      <c r="V73" s="18"/>
    </row>
    <row r="74" spans="1:22" ht="19.5" customHeight="1">
      <c r="A74" s="493"/>
      <c r="B74" s="327"/>
      <c r="C74" s="493"/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  <c r="P74" s="65"/>
      <c r="Q74" s="21"/>
      <c r="R74" s="21"/>
      <c r="S74" s="18"/>
      <c r="T74" s="18"/>
      <c r="U74" s="18"/>
      <c r="V74" s="18"/>
    </row>
    <row r="75" spans="1:22" ht="19.5" customHeight="1">
      <c r="A75" s="493"/>
      <c r="B75" s="493"/>
      <c r="C75" s="493"/>
      <c r="D75" s="81" t="s">
        <v>577</v>
      </c>
      <c r="E75" s="87"/>
      <c r="F75" s="87"/>
      <c r="G75" s="87"/>
      <c r="H75" s="87"/>
      <c r="I75" s="87"/>
      <c r="J75" s="87"/>
      <c r="K75" s="87"/>
      <c r="L75" s="87"/>
      <c r="M75" s="493"/>
      <c r="N75" s="493"/>
      <c r="O75" s="493"/>
      <c r="P75" s="65"/>
      <c r="Q75" s="21"/>
      <c r="R75" s="21"/>
      <c r="S75" s="18"/>
      <c r="T75" s="18"/>
      <c r="U75" s="18"/>
      <c r="V75" s="18"/>
    </row>
    <row r="76" spans="1:22" ht="12.75">
      <c r="A76" s="493"/>
      <c r="B76" s="493"/>
      <c r="C76" s="493"/>
      <c r="D76" s="84"/>
      <c r="E76" s="84"/>
      <c r="F76" s="84"/>
      <c r="G76" s="84"/>
      <c r="H76" s="84"/>
      <c r="I76" s="84"/>
      <c r="J76" s="84"/>
      <c r="K76" s="84"/>
      <c r="L76" s="84"/>
      <c r="M76" s="493"/>
      <c r="N76" s="493"/>
      <c r="O76" s="493"/>
      <c r="P76" s="65"/>
      <c r="Q76" s="21"/>
      <c r="R76" s="21"/>
      <c r="S76" s="18"/>
      <c r="T76" s="18"/>
      <c r="U76" s="18"/>
      <c r="V76" s="18"/>
    </row>
    <row r="77" spans="1:22" ht="12.75">
      <c r="A77" s="493"/>
      <c r="B77" s="493"/>
      <c r="C77" s="493"/>
      <c r="D77" s="87"/>
      <c r="E77" s="87"/>
      <c r="F77" s="87"/>
      <c r="G77" s="87"/>
      <c r="H77" s="87"/>
      <c r="I77" s="87"/>
      <c r="J77" s="87"/>
      <c r="K77" s="87"/>
      <c r="L77" s="87"/>
      <c r="M77" s="493"/>
      <c r="N77" s="493"/>
      <c r="O77" s="493"/>
      <c r="P77" s="65"/>
      <c r="Q77" s="21"/>
      <c r="R77" s="21"/>
      <c r="S77" s="18"/>
      <c r="T77" s="18"/>
      <c r="U77" s="18"/>
      <c r="V77" s="18"/>
    </row>
    <row r="78" spans="1:22" ht="12.75">
      <c r="A78" s="493"/>
      <c r="B78" s="493"/>
      <c r="C78" s="493"/>
      <c r="D78" s="735"/>
      <c r="E78" s="735"/>
      <c r="F78" s="735"/>
      <c r="G78" s="735"/>
      <c r="H78" s="735"/>
      <c r="I78" s="735"/>
      <c r="J78" s="735"/>
      <c r="K78" s="735"/>
      <c r="L78" s="735"/>
      <c r="M78" s="493"/>
      <c r="N78" s="493"/>
      <c r="O78" s="493"/>
      <c r="P78" s="65"/>
      <c r="Q78" s="21"/>
      <c r="R78" s="21"/>
      <c r="S78" s="18"/>
      <c r="T78" s="18"/>
      <c r="U78" s="18"/>
      <c r="V78" s="18"/>
    </row>
    <row r="79" spans="1:22" ht="12.75">
      <c r="A79" s="493"/>
      <c r="B79" s="493"/>
      <c r="C79" s="493"/>
      <c r="D79" s="87"/>
      <c r="E79" s="87"/>
      <c r="F79" s="87"/>
      <c r="G79" s="87"/>
      <c r="H79" s="87"/>
      <c r="I79" s="87"/>
      <c r="J79" s="87"/>
      <c r="K79" s="87"/>
      <c r="L79" s="87"/>
      <c r="M79" s="493"/>
      <c r="N79" s="493"/>
      <c r="O79" s="493"/>
      <c r="P79" s="65"/>
      <c r="Q79" s="21"/>
      <c r="R79" s="21"/>
      <c r="S79" s="18"/>
      <c r="T79" s="18"/>
      <c r="U79" s="18"/>
      <c r="V79" s="18"/>
    </row>
    <row r="80" spans="1:22" ht="12.75">
      <c r="A80" s="494"/>
      <c r="B80" s="493"/>
      <c r="C80" s="493"/>
      <c r="D80" s="493"/>
      <c r="E80" s="493"/>
      <c r="F80" s="493"/>
      <c r="G80" s="493"/>
      <c r="H80" s="493"/>
      <c r="I80" s="493"/>
      <c r="J80" s="493"/>
      <c r="K80" s="493"/>
      <c r="L80" s="493"/>
      <c r="M80" s="493"/>
      <c r="N80" s="493"/>
      <c r="O80" s="493"/>
      <c r="P80" s="65"/>
      <c r="Q80" s="21"/>
      <c r="R80" s="21"/>
      <c r="S80" s="18"/>
      <c r="T80" s="18"/>
      <c r="U80" s="18"/>
      <c r="V80" s="18"/>
    </row>
    <row r="81" spans="1:22" ht="12.75">
      <c r="A81" s="493"/>
      <c r="B81" s="493"/>
      <c r="C81" s="493"/>
      <c r="D81" s="493"/>
      <c r="E81" s="493"/>
      <c r="F81" s="493"/>
      <c r="G81" s="493"/>
      <c r="H81" s="493"/>
      <c r="I81" s="692" t="s">
        <v>1016</v>
      </c>
      <c r="J81" s="569">
        <f>+IF(Input!E14="","",Input!E14)</f>
      </c>
      <c r="K81" s="616"/>
      <c r="L81" s="525"/>
      <c r="M81" s="493"/>
      <c r="N81" s="493"/>
      <c r="O81" s="493"/>
      <c r="P81" s="65"/>
      <c r="Q81" s="21"/>
      <c r="R81" s="21"/>
      <c r="S81" s="18"/>
      <c r="T81" s="18"/>
      <c r="U81" s="18"/>
      <c r="V81" s="18"/>
    </row>
    <row r="82" spans="1:22" ht="12.75">
      <c r="A82" s="693" t="s">
        <v>1273</v>
      </c>
      <c r="B82" s="493"/>
      <c r="C82" s="493"/>
      <c r="D82" s="493"/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  <c r="P82" s="65"/>
      <c r="Q82" s="21"/>
      <c r="R82" s="21"/>
      <c r="S82" s="18"/>
      <c r="T82" s="18"/>
      <c r="U82" s="18"/>
      <c r="V82" s="18"/>
    </row>
    <row r="83" spans="1:22" ht="12.75">
      <c r="A83" s="65"/>
      <c r="B83" s="65"/>
      <c r="C83" s="65"/>
      <c r="D83" s="65"/>
      <c r="E83" s="65"/>
      <c r="F83" s="65"/>
      <c r="P83" s="65"/>
      <c r="Q83" s="21"/>
      <c r="R83" s="21"/>
      <c r="S83" s="18"/>
      <c r="T83" s="18"/>
      <c r="U83" s="18"/>
      <c r="V83" s="18"/>
    </row>
    <row r="84" spans="1:22" ht="12.75">
      <c r="A84" s="65"/>
      <c r="B84" s="65"/>
      <c r="C84" s="65"/>
      <c r="D84" s="65"/>
      <c r="E84" s="65"/>
      <c r="F84" s="65"/>
      <c r="P84" s="65"/>
      <c r="Q84" s="21"/>
      <c r="R84" s="21"/>
      <c r="S84" s="18"/>
      <c r="T84" s="18"/>
      <c r="U84" s="18"/>
      <c r="V84" s="18"/>
    </row>
    <row r="85" spans="1:22" ht="12.75">
      <c r="A85" s="65"/>
      <c r="B85" s="65"/>
      <c r="C85" s="65"/>
      <c r="D85" s="65"/>
      <c r="E85" s="65"/>
      <c r="F85" s="65"/>
      <c r="P85" s="65"/>
      <c r="Q85" s="21"/>
      <c r="R85" s="21"/>
      <c r="S85" s="18"/>
      <c r="T85" s="18"/>
      <c r="U85" s="18"/>
      <c r="V85" s="18"/>
    </row>
    <row r="86" spans="1:22" ht="12.7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65"/>
      <c r="O86" s="65"/>
      <c r="P86" s="65"/>
      <c r="Q86" s="21"/>
      <c r="R86" s="21"/>
      <c r="S86" s="18"/>
      <c r="T86" s="18"/>
      <c r="U86" s="18"/>
      <c r="V86" s="18"/>
    </row>
    <row r="87" spans="1:22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21"/>
      <c r="R87" s="21"/>
      <c r="S87" s="18"/>
      <c r="T87" s="18"/>
      <c r="U87" s="18"/>
      <c r="V87" s="18"/>
    </row>
    <row r="88" spans="1:22" ht="12.75">
      <c r="A88" s="70"/>
      <c r="B88" s="70"/>
      <c r="C88" s="344"/>
      <c r="D88" s="70"/>
      <c r="E88" s="110"/>
      <c r="F88" s="70"/>
      <c r="G88" s="344"/>
      <c r="H88" s="70"/>
      <c r="I88" s="65"/>
      <c r="J88" s="65"/>
      <c r="K88" s="344"/>
      <c r="L88" s="255"/>
      <c r="M88" s="65"/>
      <c r="N88" s="65"/>
      <c r="O88" s="65"/>
      <c r="P88" s="65"/>
      <c r="Q88" s="21"/>
      <c r="R88" s="21"/>
      <c r="S88" s="18"/>
      <c r="T88" s="18"/>
      <c r="U88" s="18"/>
      <c r="V88" s="18"/>
    </row>
    <row r="89" spans="1:22" ht="12.75">
      <c r="A89" s="70"/>
      <c r="B89" s="70"/>
      <c r="C89" s="344"/>
      <c r="D89" s="70"/>
      <c r="E89" s="70"/>
      <c r="F89" s="70"/>
      <c r="G89" s="70"/>
      <c r="H89" s="70"/>
      <c r="I89" s="70"/>
      <c r="J89" s="65"/>
      <c r="K89" s="344"/>
      <c r="L89" s="255"/>
      <c r="M89" s="65"/>
      <c r="N89" s="65"/>
      <c r="O89" s="65"/>
      <c r="P89" s="65"/>
      <c r="Q89" s="21"/>
      <c r="R89" s="21"/>
      <c r="S89" s="18"/>
      <c r="T89" s="18"/>
      <c r="U89" s="18"/>
      <c r="V89" s="18"/>
    </row>
    <row r="90" spans="1:22" ht="12.75">
      <c r="A90" s="326">
        <f>IF(B90="","",#REF!+1)</f>
      </c>
      <c r="B90" s="327"/>
      <c r="M90" s="329"/>
      <c r="N90" s="329"/>
      <c r="O90" s="65"/>
      <c r="P90" s="65"/>
      <c r="Q90" s="21"/>
      <c r="R90" s="21"/>
      <c r="S90" s="18"/>
      <c r="T90" s="18"/>
      <c r="U90" s="18"/>
      <c r="V90" s="18"/>
    </row>
    <row r="91" spans="1:22" ht="12.75">
      <c r="A91" s="326">
        <f>IF(B91="","",A90+1)</f>
      </c>
      <c r="B91" s="327"/>
      <c r="M91" s="334"/>
      <c r="N91" s="335"/>
      <c r="O91" s="65"/>
      <c r="P91" s="65"/>
      <c r="Q91" s="21"/>
      <c r="R91" s="21"/>
      <c r="S91" s="18"/>
      <c r="T91" s="18"/>
      <c r="U91" s="18"/>
      <c r="V91" s="18"/>
    </row>
    <row r="92" spans="1:22" ht="12.75">
      <c r="A92" s="326">
        <f>IF(B92="","",A91+1)</f>
      </c>
      <c r="B92" s="327"/>
      <c r="M92" s="334"/>
      <c r="N92" s="335"/>
      <c r="O92" s="65"/>
      <c r="P92" s="65"/>
      <c r="Q92" s="18"/>
      <c r="R92" s="18"/>
      <c r="S92" s="18"/>
      <c r="T92" s="18"/>
      <c r="U92" s="18"/>
      <c r="V92" s="18"/>
    </row>
    <row r="93" spans="15:22" ht="12.75">
      <c r="O93" s="65"/>
      <c r="P93" s="65"/>
      <c r="Q93" s="18"/>
      <c r="R93" s="18"/>
      <c r="S93" s="18"/>
      <c r="T93" s="18"/>
      <c r="U93" s="18"/>
      <c r="V93" s="18"/>
    </row>
    <row r="94" spans="15:22" ht="12.75">
      <c r="O94" s="65"/>
      <c r="P94" s="65"/>
      <c r="Q94" s="18"/>
      <c r="R94" s="18"/>
      <c r="S94" s="18"/>
      <c r="T94" s="18"/>
      <c r="U94" s="18"/>
      <c r="V94" s="18"/>
    </row>
    <row r="95" spans="1:22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18"/>
      <c r="R95" s="18"/>
      <c r="S95" s="18"/>
      <c r="T95" s="18"/>
      <c r="U95" s="18"/>
      <c r="V95" s="18"/>
    </row>
    <row r="96" spans="1:22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18"/>
      <c r="R96" s="18"/>
      <c r="S96" s="18"/>
      <c r="T96" s="18"/>
      <c r="U96" s="18"/>
      <c r="V96" s="18"/>
    </row>
    <row r="97" spans="1:22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18"/>
      <c r="R97" s="18"/>
      <c r="S97" s="18"/>
      <c r="T97" s="18"/>
      <c r="U97" s="18"/>
      <c r="V97" s="18"/>
    </row>
    <row r="98" spans="1:22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18"/>
      <c r="R98" s="18"/>
      <c r="S98" s="18"/>
      <c r="T98" s="18"/>
      <c r="U98" s="18"/>
      <c r="V98" s="18"/>
    </row>
    <row r="99" spans="1:22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18"/>
      <c r="R99" s="18"/>
      <c r="S99" s="18"/>
      <c r="T99" s="18"/>
      <c r="U99" s="18"/>
      <c r="V99" s="18"/>
    </row>
    <row r="100" spans="1:22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18"/>
      <c r="R100" s="18"/>
      <c r="S100" s="18"/>
      <c r="T100" s="18"/>
      <c r="U100" s="18"/>
      <c r="V100" s="18"/>
    </row>
    <row r="101" spans="1:22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18"/>
      <c r="R101" s="18"/>
      <c r="S101" s="18"/>
      <c r="T101" s="18"/>
      <c r="U101" s="18"/>
      <c r="V101" s="18"/>
    </row>
    <row r="102" spans="1:22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18"/>
      <c r="R102" s="18"/>
      <c r="S102" s="18"/>
      <c r="T102" s="18"/>
      <c r="U102" s="18"/>
      <c r="V102" s="18"/>
    </row>
    <row r="103" spans="1:22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18"/>
      <c r="R103" s="18"/>
      <c r="S103" s="18"/>
      <c r="T103" s="18"/>
      <c r="U103" s="18"/>
      <c r="V103" s="18"/>
    </row>
    <row r="104" spans="1:22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18"/>
      <c r="R104" s="18"/>
      <c r="S104" s="18"/>
      <c r="T104" s="18"/>
      <c r="U104" s="18"/>
      <c r="V104" s="18"/>
    </row>
    <row r="105" spans="1:22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18"/>
      <c r="R105" s="18"/>
      <c r="S105" s="18"/>
      <c r="T105" s="18"/>
      <c r="U105" s="18"/>
      <c r="V105" s="18"/>
    </row>
    <row r="106" spans="1:22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18"/>
      <c r="R106" s="18"/>
      <c r="S106" s="18"/>
      <c r="T106" s="18"/>
      <c r="U106" s="18"/>
      <c r="V106" s="18"/>
    </row>
    <row r="107" spans="1:22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18"/>
      <c r="R107" s="18"/>
      <c r="S107" s="18"/>
      <c r="T107" s="18"/>
      <c r="U107" s="18"/>
      <c r="V107" s="18"/>
    </row>
    <row r="108" spans="1:22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18"/>
      <c r="R108" s="18"/>
      <c r="S108" s="18"/>
      <c r="T108" s="18"/>
      <c r="U108" s="18"/>
      <c r="V108" s="18"/>
    </row>
    <row r="109" spans="1:22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18"/>
      <c r="R109" s="18"/>
      <c r="S109" s="18"/>
      <c r="T109" s="18"/>
      <c r="U109" s="18"/>
      <c r="V109" s="18"/>
    </row>
    <row r="110" spans="1:22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18"/>
      <c r="R110" s="18"/>
      <c r="S110" s="18"/>
      <c r="T110" s="18"/>
      <c r="U110" s="18"/>
      <c r="V110" s="18"/>
    </row>
    <row r="111" spans="1:22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18"/>
      <c r="R111" s="18"/>
      <c r="S111" s="18"/>
      <c r="T111" s="18"/>
      <c r="U111" s="18"/>
      <c r="V111" s="18"/>
    </row>
    <row r="112" spans="1:22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18"/>
      <c r="R112" s="18"/>
      <c r="S112" s="18"/>
      <c r="T112" s="18"/>
      <c r="U112" s="18"/>
      <c r="V112" s="18"/>
    </row>
    <row r="113" spans="1:22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18"/>
      <c r="R113" s="18"/>
      <c r="S113" s="18"/>
      <c r="T113" s="18"/>
      <c r="U113" s="18"/>
      <c r="V113" s="18"/>
    </row>
    <row r="114" spans="1:22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18"/>
      <c r="R114" s="18"/>
      <c r="S114" s="18"/>
      <c r="T114" s="18"/>
      <c r="U114" s="18"/>
      <c r="V114" s="18"/>
    </row>
    <row r="115" spans="1:22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18"/>
      <c r="R115" s="18"/>
      <c r="S115" s="18"/>
      <c r="T115" s="18"/>
      <c r="U115" s="18"/>
      <c r="V115" s="18"/>
    </row>
    <row r="116" spans="1:22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18"/>
      <c r="R116" s="18"/>
      <c r="S116" s="18"/>
      <c r="T116" s="18"/>
      <c r="U116" s="18"/>
      <c r="V116" s="18"/>
    </row>
    <row r="117" spans="1:22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18"/>
      <c r="R117" s="18"/>
      <c r="S117" s="18"/>
      <c r="T117" s="18"/>
      <c r="U117" s="18"/>
      <c r="V117" s="18"/>
    </row>
    <row r="118" spans="1:22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18"/>
      <c r="R118" s="18"/>
      <c r="S118" s="18"/>
      <c r="T118" s="18"/>
      <c r="U118" s="18"/>
      <c r="V118" s="18"/>
    </row>
    <row r="119" spans="1:22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18"/>
      <c r="R119" s="18"/>
      <c r="S119" s="18"/>
      <c r="T119" s="18"/>
      <c r="U119" s="18"/>
      <c r="V119" s="18"/>
    </row>
    <row r="120" spans="1:22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18"/>
      <c r="R120" s="18"/>
      <c r="S120" s="18"/>
      <c r="T120" s="18"/>
      <c r="U120" s="18"/>
      <c r="V120" s="18"/>
    </row>
    <row r="121" spans="1:22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18"/>
      <c r="R121" s="18"/>
      <c r="S121" s="18"/>
      <c r="T121" s="18"/>
      <c r="U121" s="18"/>
      <c r="V121" s="18"/>
    </row>
    <row r="122" spans="1:16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</row>
  </sheetData>
  <sheetProtection sheet="1" objects="1" scenarios="1"/>
  <mergeCells count="6">
    <mergeCell ref="A12:O12"/>
    <mergeCell ref="G13:G16"/>
    <mergeCell ref="E1:G1"/>
    <mergeCell ref="A9:O9"/>
    <mergeCell ref="A10:O10"/>
    <mergeCell ref="A11:O11"/>
  </mergeCells>
  <dataValidations count="4">
    <dataValidation type="list" allowBlank="1" showInputMessage="1" showErrorMessage="1" sqref="K13:K16">
      <formula1>Input!$E$64:$E$68</formula1>
    </dataValidation>
    <dataValidation type="list" allowBlank="1" showInputMessage="1" showErrorMessage="1" sqref="I13:I16">
      <formula1>Input!$C$64:$C$68</formula1>
    </dataValidation>
    <dataValidation type="list" allowBlank="1" showInputMessage="1" showErrorMessage="1" sqref="G68 E53 B53">
      <formula1>$D$32:$D$35</formula1>
    </dataValidation>
    <dataValidation type="list" allowBlank="1" showInputMessage="1" showErrorMessage="1" sqref="B41:B52 E41:E52 H41:H48 K41:K46 N41:N44 H52:H53 K52:K53 N52:N53 B60:B61 E60:E61 H60:H61 B65:B66 E65:E66 H65:H66 K60:K61 N60:N61">
      <formula1>$D$32:$D$36</formula1>
    </dataValidation>
  </dataValidations>
  <printOptions/>
  <pageMargins left="0.5" right="0.5" top="0.5" bottom="0.5" header="0" footer="0"/>
  <pageSetup fitToHeight="1" fitToWidth="1"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Q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2.7109375" style="0" customWidth="1"/>
    <col min="3" max="3" width="22.57421875" style="0" customWidth="1"/>
    <col min="4" max="4" width="12.7109375" style="0" customWidth="1"/>
    <col min="5" max="5" width="13.00390625" style="0" customWidth="1"/>
    <col min="6" max="6" width="14.421875" style="0" customWidth="1"/>
    <col min="7" max="7" width="25.8515625" style="0" customWidth="1"/>
    <col min="8" max="8" width="19.28125" style="0" customWidth="1"/>
    <col min="9" max="9" width="16.7109375" style="0" customWidth="1"/>
  </cols>
  <sheetData>
    <row r="1" spans="1:251" ht="12.75">
      <c r="A1" s="66" t="s">
        <v>600</v>
      </c>
      <c r="B1" s="494"/>
      <c r="C1" s="485" t="s">
        <v>860</v>
      </c>
      <c r="D1" s="484"/>
      <c r="E1" s="484"/>
      <c r="F1" s="210"/>
      <c r="G1" s="210"/>
      <c r="H1" s="210"/>
      <c r="I1" s="66"/>
      <c r="J1" s="21"/>
      <c r="K1" s="21"/>
      <c r="L1" s="21"/>
      <c r="M1" s="21"/>
      <c r="IQ1" t="s">
        <v>864</v>
      </c>
    </row>
    <row r="2" spans="1:251" ht="12.75">
      <c r="A2" s="66"/>
      <c r="B2" s="494"/>
      <c r="C2" s="66"/>
      <c r="D2" s="66"/>
      <c r="E2" s="66"/>
      <c r="F2" s="66"/>
      <c r="G2" s="66"/>
      <c r="H2" s="66"/>
      <c r="I2" s="66"/>
      <c r="J2" s="21"/>
      <c r="K2" s="21"/>
      <c r="L2" s="21"/>
      <c r="M2" s="21"/>
      <c r="IQ2" s="1">
        <f>IF(Data!A267="","",Data!A267)</f>
      </c>
    </row>
    <row r="3" spans="1:251" ht="15.75">
      <c r="A3" s="736" t="s">
        <v>669</v>
      </c>
      <c r="B3" s="705"/>
      <c r="C3" s="545"/>
      <c r="D3" s="70"/>
      <c r="E3" s="66"/>
      <c r="F3" s="66"/>
      <c r="G3" s="66"/>
      <c r="H3" s="66"/>
      <c r="I3" s="66"/>
      <c r="J3" s="21"/>
      <c r="K3" s="21"/>
      <c r="L3" s="21"/>
      <c r="M3" s="21"/>
      <c r="IQ3" s="1">
        <f>IF(Data!A268="","",Data!A268)</f>
      </c>
    </row>
    <row r="4" spans="1:251" ht="12.75">
      <c r="A4" s="493"/>
      <c r="B4" s="530"/>
      <c r="C4" s="741" t="s">
        <v>714</v>
      </c>
      <c r="D4" s="126"/>
      <c r="E4" s="66"/>
      <c r="F4" s="66"/>
      <c r="G4" s="66"/>
      <c r="H4" s="66"/>
      <c r="I4" s="66"/>
      <c r="J4" s="21"/>
      <c r="K4" s="21"/>
      <c r="L4" s="21"/>
      <c r="M4" s="21"/>
      <c r="IQ4" s="1">
        <f>IF(Data!A269="","",Data!A269)</f>
      </c>
    </row>
    <row r="5" spans="1:251" ht="12.75">
      <c r="A5" s="742"/>
      <c r="B5" s="545"/>
      <c r="C5" s="545"/>
      <c r="D5" s="70"/>
      <c r="E5" s="66"/>
      <c r="F5" s="66"/>
      <c r="G5" s="66"/>
      <c r="H5" s="66"/>
      <c r="I5" s="66"/>
      <c r="J5" s="21"/>
      <c r="K5" s="21"/>
      <c r="L5" s="21"/>
      <c r="M5" s="21"/>
      <c r="IQ5" s="1">
        <f>IF(Data!A270="","",Data!A270)</f>
      </c>
    </row>
    <row r="6" spans="1:251" ht="12.75">
      <c r="A6" s="66" t="s">
        <v>47</v>
      </c>
      <c r="B6" s="66"/>
      <c r="C6" s="66"/>
      <c r="D6" s="66"/>
      <c r="E6" s="66"/>
      <c r="F6" s="66"/>
      <c r="G6" s="66"/>
      <c r="H6" s="66"/>
      <c r="I6" s="66"/>
      <c r="J6" s="21"/>
      <c r="K6" s="21"/>
      <c r="L6" s="21"/>
      <c r="M6" s="21"/>
      <c r="IQ6" s="1">
        <f>IF(Data!A271="","",Data!A271)</f>
      </c>
    </row>
    <row r="7" spans="1:251" ht="4.5" customHeight="1">
      <c r="A7" s="91"/>
      <c r="B7" s="92"/>
      <c r="C7" s="92"/>
      <c r="D7" s="92"/>
      <c r="E7" s="92"/>
      <c r="F7" s="92"/>
      <c r="G7" s="92"/>
      <c r="H7" s="92"/>
      <c r="I7" s="93"/>
      <c r="J7" s="21"/>
      <c r="K7" s="21"/>
      <c r="L7" s="21"/>
      <c r="M7" s="21"/>
      <c r="IQ7" s="1">
        <f>IF(Data!A272="","",Data!A272)</f>
      </c>
    </row>
    <row r="8" spans="1:251" ht="15" customHeight="1">
      <c r="A8" s="66" t="s">
        <v>600</v>
      </c>
      <c r="B8" s="66"/>
      <c r="C8" s="66"/>
      <c r="D8" s="66"/>
      <c r="E8" s="66"/>
      <c r="F8" s="66"/>
      <c r="G8" s="66"/>
      <c r="H8" s="66"/>
      <c r="I8" s="7" t="s">
        <v>1310</v>
      </c>
      <c r="J8" s="21"/>
      <c r="K8" s="21"/>
      <c r="L8" s="21"/>
      <c r="M8" s="21"/>
      <c r="IQ8" s="1">
        <f>IF(Data!A273="","",Data!A273)</f>
      </c>
    </row>
    <row r="9" spans="1:251" ht="15" customHeight="1">
      <c r="A9" s="1025" t="s">
        <v>84</v>
      </c>
      <c r="B9" s="1026"/>
      <c r="C9" s="1026"/>
      <c r="D9" s="1026"/>
      <c r="E9" s="1026"/>
      <c r="F9" s="1026"/>
      <c r="G9" s="1026"/>
      <c r="H9" s="1026"/>
      <c r="I9" s="1026"/>
      <c r="J9" s="6"/>
      <c r="K9" s="6"/>
      <c r="L9" s="21"/>
      <c r="M9" s="21"/>
      <c r="IQ9" s="1">
        <f>IF(Data!A274="","",Data!A274)</f>
      </c>
    </row>
    <row r="10" spans="1:251" ht="15" customHeight="1">
      <c r="A10" s="1027" t="s">
        <v>101</v>
      </c>
      <c r="B10" s="1026"/>
      <c r="C10" s="1026"/>
      <c r="D10" s="1026"/>
      <c r="E10" s="1026"/>
      <c r="F10" s="1026"/>
      <c r="G10" s="1026"/>
      <c r="H10" s="1026"/>
      <c r="I10" s="1026"/>
      <c r="J10" s="6"/>
      <c r="K10" s="6"/>
      <c r="L10" s="21"/>
      <c r="M10" s="21"/>
      <c r="IQ10" s="1">
        <f>IF(Data!A275="","",Data!A275)</f>
      </c>
    </row>
    <row r="11" spans="1:251" ht="15" customHeight="1">
      <c r="A11" s="1027" t="s">
        <v>102</v>
      </c>
      <c r="B11" s="1026"/>
      <c r="C11" s="1026"/>
      <c r="D11" s="1026"/>
      <c r="E11" s="1026"/>
      <c r="F11" s="1026"/>
      <c r="G11" s="1026"/>
      <c r="H11" s="1026"/>
      <c r="I11" s="1026"/>
      <c r="J11" s="6"/>
      <c r="K11" s="6"/>
      <c r="L11" s="21"/>
      <c r="M11" s="21"/>
      <c r="IQ11" s="1">
        <f>IF(Data!A276="","",Data!A276)</f>
      </c>
    </row>
    <row r="12" spans="1:251" ht="15" customHeight="1">
      <c r="A12" s="1030" t="s">
        <v>1266</v>
      </c>
      <c r="B12" s="1026"/>
      <c r="C12" s="1026"/>
      <c r="D12" s="1026"/>
      <c r="E12" s="1026"/>
      <c r="F12" s="1026"/>
      <c r="G12" s="1026"/>
      <c r="H12" s="1026"/>
      <c r="I12" s="1026"/>
      <c r="J12" s="6"/>
      <c r="K12" s="6"/>
      <c r="L12" s="21"/>
      <c r="M12" s="21"/>
      <c r="IQ12" s="1">
        <f>IF(Data!A277="","",Data!A277)</f>
      </c>
    </row>
    <row r="13" spans="1:251" ht="15" customHeight="1">
      <c r="A13" s="496" t="s">
        <v>1003</v>
      </c>
      <c r="B13" s="497">
        <f>IF(Input!$B$7="","",Input!$B$7)</f>
      </c>
      <c r="C13" s="498"/>
      <c r="D13" s="1020" t="s">
        <v>107</v>
      </c>
      <c r="E13" s="500">
        <v>1</v>
      </c>
      <c r="F13" s="501">
        <f>IF(Input!$C$64="","",Input!$C$64)</f>
      </c>
      <c r="G13" s="500">
        <v>5</v>
      </c>
      <c r="H13" s="501">
        <f>IF(Input!$E$64="","",Input!$E$64)</f>
      </c>
      <c r="I13" s="493"/>
      <c r="L13" s="21"/>
      <c r="M13" s="21"/>
      <c r="IQ13" s="1">
        <f>IF(Data!A278="","",Data!A278)</f>
      </c>
    </row>
    <row r="14" spans="1:251" ht="15" customHeight="1">
      <c r="A14" s="496" t="s">
        <v>103</v>
      </c>
      <c r="B14" s="497">
        <f>IF(Input!$B$8="","",Input!$B$8)</f>
      </c>
      <c r="C14" s="498"/>
      <c r="D14" s="1021"/>
      <c r="E14" s="500">
        <v>2</v>
      </c>
      <c r="F14" s="501">
        <f>IF(Input!$C$65="","",Input!$C$65)</f>
      </c>
      <c r="G14" s="500">
        <v>6</v>
      </c>
      <c r="H14" s="501">
        <f>IF(Input!$E$65="","",Input!$E$65)</f>
      </c>
      <c r="I14" s="493"/>
      <c r="L14" s="21"/>
      <c r="M14" s="21"/>
      <c r="IQ14" s="1">
        <f>IF(Data!A279="","",Data!A279)</f>
      </c>
    </row>
    <row r="15" spans="1:251" ht="15" customHeight="1">
      <c r="A15" s="496" t="s">
        <v>1041</v>
      </c>
      <c r="B15" s="497">
        <f>IF(Input!$B$10="","",Input!$B$10)</f>
      </c>
      <c r="C15" s="498"/>
      <c r="D15" s="1021"/>
      <c r="E15" s="500">
        <v>3</v>
      </c>
      <c r="F15" s="501">
        <f>IF(Input!$C$66="","",Input!$C$66)</f>
      </c>
      <c r="G15" s="500">
        <v>7</v>
      </c>
      <c r="H15" s="501">
        <f>IF(Input!$E$66="","",Input!$E$66)</f>
      </c>
      <c r="I15" s="493"/>
      <c r="L15" s="21"/>
      <c r="M15" s="21"/>
      <c r="R15" s="192"/>
      <c r="S15" s="4"/>
      <c r="T15" s="192"/>
      <c r="U15" s="4"/>
      <c r="IQ15" s="1">
        <f>IF(Data!A280="","",Data!A280)</f>
      </c>
    </row>
    <row r="16" spans="1:251" ht="15" customHeight="1">
      <c r="A16" s="496" t="s">
        <v>1004</v>
      </c>
      <c r="B16" s="497">
        <f>IF(Input!$E$5="","",Input!$E$5)</f>
      </c>
      <c r="C16" s="498"/>
      <c r="D16" s="1022"/>
      <c r="E16" s="500">
        <v>4</v>
      </c>
      <c r="F16" s="501">
        <f>IF(Input!$C$67="","",Input!$C$67)</f>
      </c>
      <c r="G16" s="500">
        <v>8</v>
      </c>
      <c r="H16" s="501">
        <f>IF(Input!$E$67="","",Input!$E$67)</f>
      </c>
      <c r="I16" s="493"/>
      <c r="L16" s="21"/>
      <c r="M16" s="21"/>
      <c r="R16" s="192"/>
      <c r="S16" s="4"/>
      <c r="T16" s="192"/>
      <c r="U16" s="4"/>
      <c r="IQ16" s="1">
        <f>IF(Data!A281="","",Data!A281)</f>
      </c>
    </row>
    <row r="17" spans="1:251" ht="15" customHeight="1">
      <c r="A17" s="510" t="s">
        <v>49</v>
      </c>
      <c r="B17" s="497">
        <f>IF(Input!$E$6="","",Input!$E$6)</f>
      </c>
      <c r="C17" s="498"/>
      <c r="D17" s="496" t="s">
        <v>1017</v>
      </c>
      <c r="E17" s="511">
        <f>IF(Input!$B$68="","",Input!$B$68)</f>
      </c>
      <c r="F17" s="493"/>
      <c r="G17" s="493"/>
      <c r="H17" s="493"/>
      <c r="I17" s="493"/>
      <c r="L17" s="21"/>
      <c r="M17" s="21"/>
      <c r="R17" s="192"/>
      <c r="S17" s="4"/>
      <c r="T17" s="192"/>
      <c r="U17" s="4"/>
      <c r="IQ17" s="1">
        <f>IF(Data!A282="","",Data!A282)</f>
      </c>
    </row>
    <row r="18" spans="1:251" ht="15" customHeight="1">
      <c r="A18" s="510" t="s">
        <v>106</v>
      </c>
      <c r="B18" s="497">
        <f>IF(Input!$E$7="","",Input!$E$7)</f>
      </c>
      <c r="C18" s="498"/>
      <c r="D18" s="496" t="s">
        <v>1018</v>
      </c>
      <c r="E18" s="511">
        <f>IF(Input!$B$69="","",Input!$B$69)</f>
      </c>
      <c r="F18" s="493"/>
      <c r="G18" s="502" t="s">
        <v>560</v>
      </c>
      <c r="H18" s="607"/>
      <c r="I18" s="503"/>
      <c r="L18" s="21"/>
      <c r="M18" s="21"/>
      <c r="R18" s="192"/>
      <c r="S18" s="4"/>
      <c r="T18" s="192"/>
      <c r="U18" s="4"/>
      <c r="IQ18" s="1">
        <f>IF(Data!A283="","",Data!A283)</f>
      </c>
    </row>
    <row r="19" spans="1:251" ht="15" customHeight="1">
      <c r="A19" s="510" t="s">
        <v>48</v>
      </c>
      <c r="B19" s="497">
        <f>IF(Input!$E$8="","",Input!$E$8)</f>
      </c>
      <c r="C19" s="498"/>
      <c r="D19" s="496" t="s">
        <v>1019</v>
      </c>
      <c r="E19" s="511">
        <f>IF(Input!$B$70="","",Input!$B$70)</f>
      </c>
      <c r="F19" s="493"/>
      <c r="G19" s="505" t="s">
        <v>50</v>
      </c>
      <c r="H19" s="506">
        <f ca="1">TODAY()</f>
        <v>40878</v>
      </c>
      <c r="I19" s="503"/>
      <c r="L19" s="21"/>
      <c r="M19" s="21"/>
      <c r="R19" s="192"/>
      <c r="S19" s="4"/>
      <c r="T19" s="192"/>
      <c r="U19" s="4"/>
      <c r="IQ19" s="1">
        <f>IF(Data!A284="","",Data!A284)</f>
      </c>
    </row>
    <row r="20" spans="1:251" ht="15" customHeight="1">
      <c r="A20" s="496" t="s">
        <v>1039</v>
      </c>
      <c r="B20" s="497">
        <f>IF(Input!$B$37="","",Input!$B$37)</f>
      </c>
      <c r="C20" s="498"/>
      <c r="D20" s="496" t="s">
        <v>1020</v>
      </c>
      <c r="E20" s="511">
        <f>IF(Input!$B$71="","",Input!$B$71)</f>
      </c>
      <c r="F20" s="493"/>
      <c r="G20" s="496" t="s">
        <v>1034</v>
      </c>
      <c r="H20" s="507">
        <f>IF(Input!$B$30="","",Input!$B$30)</f>
      </c>
      <c r="I20" s="508"/>
      <c r="L20" s="21"/>
      <c r="M20" s="21"/>
      <c r="R20" s="192"/>
      <c r="S20" s="4"/>
      <c r="T20" s="192"/>
      <c r="U20" s="4"/>
      <c r="IQ20" s="1">
        <f>IF(Data!A285="","",Data!A285)</f>
      </c>
    </row>
    <row r="21" spans="1:251" ht="15" customHeight="1">
      <c r="A21" s="496" t="s">
        <v>98</v>
      </c>
      <c r="B21" s="573"/>
      <c r="C21" s="574"/>
      <c r="D21" s="496" t="s">
        <v>1021</v>
      </c>
      <c r="E21" s="511">
        <f>IF(Input!$B$72="","",Input!$B$72)</f>
      </c>
      <c r="F21" s="493"/>
      <c r="G21" s="496" t="s">
        <v>1035</v>
      </c>
      <c r="H21" s="507">
        <f>IF(Input!$B$31="","",Input!$B$31)</f>
      </c>
      <c r="I21" s="508"/>
      <c r="L21" s="21"/>
      <c r="M21" s="21"/>
      <c r="R21" s="192"/>
      <c r="S21" s="4"/>
      <c r="T21" s="192"/>
      <c r="U21" s="4"/>
      <c r="IQ21" s="1">
        <f>IF(Data!A286="","",Data!A286)</f>
      </c>
    </row>
    <row r="22" spans="1:21" ht="15" customHeight="1">
      <c r="A22" s="496" t="s">
        <v>104</v>
      </c>
      <c r="B22" s="497">
        <f>IF(Input!$B$9="","",Input!$B$9)</f>
      </c>
      <c r="C22" s="498"/>
      <c r="D22" s="496" t="s">
        <v>1022</v>
      </c>
      <c r="E22" s="511">
        <f>IF(Input!$B$73="","",Input!$B$73)</f>
      </c>
      <c r="F22" s="493"/>
      <c r="G22" s="496" t="s">
        <v>1030</v>
      </c>
      <c r="H22" s="507">
        <f>IF(Input!$B$32="","",Input!$B$32)</f>
      </c>
      <c r="I22" s="508"/>
      <c r="J22" s="60"/>
      <c r="K22" s="62"/>
      <c r="L22" s="21"/>
      <c r="M22" s="21"/>
      <c r="R22" s="192"/>
      <c r="S22" s="4"/>
      <c r="T22" s="192"/>
      <c r="U22" s="4"/>
    </row>
    <row r="23" spans="1:21" ht="15" customHeight="1">
      <c r="A23" s="496" t="s">
        <v>105</v>
      </c>
      <c r="B23" s="516">
        <f>'Setup Bm Input'!$B$34</f>
      </c>
      <c r="C23" s="498" t="str">
        <f>IF(Input!$B$6="","",IF(Input!$B$6="E","in.",IF(Input!$B$6="M","mm")))</f>
        <v>in.</v>
      </c>
      <c r="D23" s="496" t="s">
        <v>1024</v>
      </c>
      <c r="E23" s="511">
        <f>IF('Setup Bm Input'!$A$46="","",'Setup Bm Input'!$A$46)</f>
      </c>
      <c r="F23" s="493"/>
      <c r="G23" s="496" t="s">
        <v>1036</v>
      </c>
      <c r="H23" s="507">
        <f>IF(Input!$B$33="","",Input!$B$33)</f>
      </c>
      <c r="I23" s="508"/>
      <c r="J23" s="170"/>
      <c r="K23" s="62"/>
      <c r="L23" s="21"/>
      <c r="M23" s="21"/>
      <c r="R23" s="192"/>
      <c r="S23" s="4"/>
      <c r="T23" s="192"/>
      <c r="U23" s="4"/>
    </row>
    <row r="24" spans="1:21" ht="15" customHeight="1">
      <c r="A24" s="493"/>
      <c r="B24" s="493"/>
      <c r="C24" s="493"/>
      <c r="D24" s="493"/>
      <c r="E24" s="493"/>
      <c r="F24" s="493"/>
      <c r="G24" s="496" t="s">
        <v>1033</v>
      </c>
      <c r="H24" s="507">
        <f>IF(Input!$B$34="","",Input!$B$34)</f>
      </c>
      <c r="I24" s="508"/>
      <c r="K24" s="21"/>
      <c r="L24" s="21"/>
      <c r="M24" s="21"/>
      <c r="R24" s="192"/>
      <c r="S24" s="4"/>
      <c r="T24" s="192"/>
      <c r="U24" s="4"/>
    </row>
    <row r="25" spans="1:21" ht="15" customHeight="1">
      <c r="A25" s="493"/>
      <c r="B25" s="493"/>
      <c r="C25" s="493"/>
      <c r="D25" s="493"/>
      <c r="E25" s="493"/>
      <c r="F25" s="493"/>
      <c r="G25" s="496" t="s">
        <v>1037</v>
      </c>
      <c r="H25" s="507">
        <f>IF(Input!$B$35="","",Input!$B$35)</f>
      </c>
      <c r="I25" s="508"/>
      <c r="K25" s="21"/>
      <c r="L25" s="21"/>
      <c r="M25" s="21"/>
      <c r="R25" s="192"/>
      <c r="S25" s="4"/>
      <c r="T25" s="192"/>
      <c r="U25" s="4"/>
    </row>
    <row r="26" spans="1:21" ht="15" customHeight="1">
      <c r="A26" s="493"/>
      <c r="B26" s="493"/>
      <c r="C26" s="493"/>
      <c r="D26" s="493"/>
      <c r="E26" s="493"/>
      <c r="F26" s="493"/>
      <c r="G26" s="496" t="s">
        <v>1038</v>
      </c>
      <c r="H26" s="507">
        <f>IF(Input!$B$36="","",Input!$B$36)</f>
      </c>
      <c r="I26" s="508"/>
      <c r="K26" s="21"/>
      <c r="L26" s="21"/>
      <c r="M26" s="21"/>
      <c r="R26" s="192"/>
      <c r="S26" s="4"/>
      <c r="T26" s="192"/>
      <c r="U26" s="4"/>
    </row>
    <row r="27" spans="1:21" ht="15" customHeight="1">
      <c r="A27" s="88" t="s">
        <v>601</v>
      </c>
      <c r="B27" s="990">
        <f>IF($D$4="","",VLOOKUP($D$4,Data!$A$267:$AI$286,2,FALSE))</f>
      </c>
      <c r="C27" s="66" t="s">
        <v>602</v>
      </c>
      <c r="D27" s="66"/>
      <c r="E27" s="66"/>
      <c r="F27" s="66"/>
      <c r="G27" s="66"/>
      <c r="H27" s="66"/>
      <c r="I27" s="66"/>
      <c r="K27" s="21"/>
      <c r="L27" s="21"/>
      <c r="M27" s="21"/>
      <c r="R27" s="192"/>
      <c r="S27" s="4"/>
      <c r="T27" s="192"/>
      <c r="U27" s="4"/>
    </row>
    <row r="28" spans="1:21" ht="15" customHeight="1">
      <c r="A28" s="88" t="s">
        <v>601</v>
      </c>
      <c r="B28" s="187">
        <f>IF(D4="","",D4)</f>
      </c>
      <c r="C28" s="66" t="s">
        <v>603</v>
      </c>
      <c r="D28" s="743"/>
      <c r="E28" s="66"/>
      <c r="F28" s="66"/>
      <c r="G28" s="66"/>
      <c r="H28" s="66"/>
      <c r="I28" s="66"/>
      <c r="K28" s="21"/>
      <c r="L28" s="21"/>
      <c r="M28" s="21"/>
      <c r="R28" s="192"/>
      <c r="S28" s="4"/>
      <c r="T28" s="192"/>
      <c r="U28" s="4"/>
    </row>
    <row r="29" spans="1:21" ht="15" customHeight="1">
      <c r="A29" s="66"/>
      <c r="B29" s="66"/>
      <c r="C29" s="66">
        <f>IF(Input!B6="","",IF(Input!B6="E","",IF(Input!B6="M","MATERIAL CODES SHOULD BE IN METRIC")))</f>
      </c>
      <c r="D29" s="66"/>
      <c r="E29" s="66"/>
      <c r="F29" s="66"/>
      <c r="G29" s="66"/>
      <c r="H29" s="66"/>
      <c r="I29" s="66"/>
      <c r="K29" s="21"/>
      <c r="L29" s="21"/>
      <c r="M29" s="21"/>
      <c r="R29" s="192"/>
      <c r="S29" s="4"/>
      <c r="T29" s="192"/>
      <c r="U29" s="4"/>
    </row>
    <row r="30" spans="1:21" ht="15" customHeight="1">
      <c r="A30" s="66"/>
      <c r="B30" s="66" t="s">
        <v>604</v>
      </c>
      <c r="C30" s="744">
        <f>Input!$B$7</f>
        <v>0</v>
      </c>
      <c r="D30" s="66"/>
      <c r="E30" s="66"/>
      <c r="F30" s="66"/>
      <c r="G30" s="66"/>
      <c r="H30" s="66"/>
      <c r="I30" s="66"/>
      <c r="K30" s="21"/>
      <c r="L30" s="21"/>
      <c r="M30" s="21"/>
      <c r="R30" s="192"/>
      <c r="S30" s="4"/>
      <c r="T30" s="192"/>
      <c r="U30" s="4"/>
    </row>
    <row r="31" spans="1:13" ht="15" customHeight="1" thickBot="1">
      <c r="A31" s="66"/>
      <c r="B31" s="66" t="s">
        <v>605</v>
      </c>
      <c r="C31" s="66">
        <f>Input!$B$9</f>
        <v>0</v>
      </c>
      <c r="D31" s="66"/>
      <c r="E31" s="80"/>
      <c r="F31" s="66"/>
      <c r="G31" s="66"/>
      <c r="H31" s="66"/>
      <c r="I31" s="80"/>
      <c r="J31" s="21"/>
      <c r="K31" s="21"/>
      <c r="L31" s="21"/>
      <c r="M31" s="21"/>
    </row>
    <row r="32" spans="1:13" ht="15" customHeight="1" thickBot="1">
      <c r="A32" s="66"/>
      <c r="B32" s="178" t="s">
        <v>606</v>
      </c>
      <c r="C32" s="179" t="s">
        <v>607</v>
      </c>
      <c r="D32" s="179" t="s">
        <v>146</v>
      </c>
      <c r="E32" s="180" t="s">
        <v>608</v>
      </c>
      <c r="F32" s="182" t="s">
        <v>1239</v>
      </c>
      <c r="G32" s="181" t="s">
        <v>609</v>
      </c>
      <c r="H32" s="182" t="s">
        <v>866</v>
      </c>
      <c r="I32" s="183" t="s">
        <v>1242</v>
      </c>
      <c r="J32" s="21"/>
      <c r="K32" s="21"/>
      <c r="L32" s="21"/>
      <c r="M32" s="21"/>
    </row>
    <row r="33" spans="1:13" ht="15" customHeight="1">
      <c r="A33" s="20" t="s">
        <v>76</v>
      </c>
      <c r="B33" s="193">
        <f>IF($D$4="","",VLOOKUP($D$4,Data!$A$292:$AI$311,4,FALSE))</f>
      </c>
      <c r="C33" s="184">
        <f>IF($D$4="","",VLOOKUP($D$4,Data!$A$292:$AI$311,5,FALSE))</f>
      </c>
      <c r="D33" s="184">
        <f>IF($D$4="","",VLOOKUP($D$4,Data!$A$267:$AI$286,4,FALSE))</f>
      </c>
      <c r="E33" s="184">
        <f>IF($D$4="","",VLOOKUP($D$4,Data!$A$267:$AI$286,5,FALSE))</f>
      </c>
      <c r="F33" s="184">
        <f>IF($D$4="","",VLOOKUP($D$4,Data!$A$267:$AI$286,3,FALSE))</f>
      </c>
      <c r="G33" s="184">
        <f>IF($F33="","",VLOOKUP($F33,Data!$A$71:$K$146,2,FALSE))</f>
      </c>
      <c r="H33" s="184">
        <f>IF($F33="","",VLOOKUP($F33,Data!$A$71:$K$146,7,FALSE))</f>
      </c>
      <c r="I33" s="195">
        <f>IF($F33="","",VLOOKUP($F33,Data!$A$71:$K$146,11,FALSE))</f>
      </c>
      <c r="J33" s="21"/>
      <c r="K33" s="21"/>
      <c r="L33" s="21"/>
      <c r="M33" s="21"/>
    </row>
    <row r="34" spans="1:13" ht="15" customHeight="1">
      <c r="A34" s="20" t="s">
        <v>77</v>
      </c>
      <c r="B34" s="194">
        <f>IF($D$4="","",VLOOKUP($D$4,Data!$A$292:$AI$311,7,FALSE))</f>
      </c>
      <c r="C34" s="168">
        <f>IF($D$4="","",VLOOKUP($D$4,Data!$A$292:$AI$311,8,FALSE))</f>
      </c>
      <c r="D34" s="168">
        <f>IF($D$4="","",VLOOKUP($D$4,Data!$A$267:$AI$286,7,FALSE))</f>
      </c>
      <c r="E34" s="168">
        <f>IF($D$4="","",VLOOKUP($D$4,Data!$A$267:$AI$286,8,FALSE))</f>
      </c>
      <c r="F34" s="168">
        <f>IF($D$4="","",VLOOKUP($D$4,Data!$A$267:$AI$286,6,FALSE))</f>
      </c>
      <c r="G34" s="168">
        <f>IF($F34="","",VLOOKUP($F34,Data!$A$71:$K$146,2,FALSE))</f>
      </c>
      <c r="H34" s="168">
        <f>IF($F34="","",VLOOKUP($F34,Data!$A$71:$K$146,7,FALSE))</f>
      </c>
      <c r="I34" s="196">
        <f>IF($F34="","",VLOOKUP($F34,Data!$A$71:$K$146,11,FALSE))</f>
      </c>
      <c r="K34" s="21"/>
      <c r="L34" s="21"/>
      <c r="M34" s="21"/>
    </row>
    <row r="35" spans="1:13" ht="15" customHeight="1">
      <c r="A35" s="20" t="s">
        <v>151</v>
      </c>
      <c r="B35" s="194">
        <f>IF($D$4="","",VLOOKUP($D$4,Data!$A$292:$AI$311,10,FALSE))</f>
      </c>
      <c r="C35" s="168">
        <f>IF($D$4="","",VLOOKUP($D$4,Data!$A$292:$AI$311,11,FALSE))</f>
      </c>
      <c r="D35" s="168">
        <f>IF($D$4="","",VLOOKUP($D$4,Data!$A$267:$AI$286,10,FALSE))</f>
      </c>
      <c r="E35" s="168">
        <f>IF($D$4="","",VLOOKUP($D$4,Data!$A$267:$AI$286,11,FALSE))</f>
      </c>
      <c r="F35" s="168">
        <f>IF($D$4="","",VLOOKUP($D$4,Data!$A$267:$AI$286,9,FALSE))</f>
      </c>
      <c r="G35" s="168">
        <f>IF($F35="","",VLOOKUP($F35,Data!$A$71:$K$146,2,FALSE))</f>
      </c>
      <c r="H35" s="168">
        <f>IF($F35="","",VLOOKUP($F35,Data!$A$71:$K$146,7,FALSE))</f>
      </c>
      <c r="I35" s="196">
        <f>IF($F35="","",VLOOKUP($F35,Data!$A$71:$K$146,11,FALSE))</f>
      </c>
      <c r="K35" s="21"/>
      <c r="L35" s="21"/>
      <c r="M35" s="21"/>
    </row>
    <row r="36" spans="1:13" ht="15" customHeight="1">
      <c r="A36" s="20" t="s">
        <v>152</v>
      </c>
      <c r="B36" s="194">
        <f>IF($D$4="","",VLOOKUP($D$4,Data!$A$292:$AI$311,13,FALSE))</f>
      </c>
      <c r="C36" s="168">
        <f>IF($D$4="","",VLOOKUP($D$4,Data!$A$292:$AI$311,14,FALSE))</f>
      </c>
      <c r="D36" s="168">
        <f>IF($D$4="","",VLOOKUP($D$4,Data!$A$267:$AI$286,13,FALSE))</f>
      </c>
      <c r="E36" s="168">
        <f>IF($D$4="","",VLOOKUP($D$4,Data!$A$267:$AI$286,14,FALSE))</f>
      </c>
      <c r="F36" s="168">
        <f>IF($D$4="","",VLOOKUP($D$4,Data!$A$267:$AI$286,12,FALSE))</f>
      </c>
      <c r="G36" s="168">
        <f>IF($F36="","",VLOOKUP($F36,Data!$A$71:$K$146,2,FALSE))</f>
      </c>
      <c r="H36" s="168">
        <f>IF($F36="","",VLOOKUP($F36,Data!$A$71:$K$146,7,FALSE))</f>
      </c>
      <c r="I36" s="196">
        <f>IF($F36="","",VLOOKUP($F36,Data!$A$71:$K$146,11,FALSE))</f>
      </c>
      <c r="K36" s="21"/>
      <c r="L36" s="21"/>
      <c r="M36" s="21"/>
    </row>
    <row r="37" spans="1:13" ht="15" customHeight="1">
      <c r="A37" s="20" t="s">
        <v>78</v>
      </c>
      <c r="B37" s="194">
        <f>IF($D$4="","",VLOOKUP($D$4,Data!$A$292:$AI$311,16,FALSE))</f>
      </c>
      <c r="C37" s="168">
        <f>IF($D$4="","",VLOOKUP($D$4,Data!$A$292:$AI$311,17,FALSE))</f>
      </c>
      <c r="D37" s="168">
        <f>IF($D$4="","",VLOOKUP($D$4,Data!$A$267:$AI$286,16,FALSE))</f>
      </c>
      <c r="E37" s="168">
        <f>IF($D$4="","",VLOOKUP($D$4,Data!$A$267:$AI$286,17,FALSE))</f>
      </c>
      <c r="F37" s="168">
        <f>IF($D$4="","",VLOOKUP($D$4,Data!$A$267:$AI$286,15,FALSE))</f>
      </c>
      <c r="G37" s="168">
        <f>IF($F37="","",VLOOKUP($F37,Data!$A$71:$K$146,2,FALSE))</f>
      </c>
      <c r="H37" s="168">
        <f>IF($F37="","",VLOOKUP($F37,Data!$A$71:$K$146,7,FALSE))</f>
      </c>
      <c r="I37" s="196">
        <f>IF($F37="","",VLOOKUP($F37,Data!$A$71:$K$146,11,FALSE))</f>
      </c>
      <c r="K37" s="21"/>
      <c r="L37" s="21"/>
      <c r="M37" s="21"/>
    </row>
    <row r="38" spans="1:13" ht="15" customHeight="1">
      <c r="A38" s="20" t="s">
        <v>79</v>
      </c>
      <c r="B38" s="194">
        <f>IF($D$4="","",VLOOKUP($D$4,Data!$A$292:$AI$311,19,FALSE))</f>
      </c>
      <c r="C38" s="168">
        <f>IF($D$4="","",VLOOKUP($D$4,Data!$A$292:$AI$311,20,FALSE))</f>
      </c>
      <c r="D38" s="168">
        <f>IF($D$4="","",VLOOKUP($D$4,Data!$A$267:$AI$286,19,FALSE))</f>
      </c>
      <c r="E38" s="168">
        <f>IF($D$4="","",VLOOKUP($D$4,Data!$A$267:$AI$286,20,FALSE))</f>
      </c>
      <c r="F38" s="168">
        <f>IF($D$4="","",VLOOKUP($D$4,Data!$A$267:$AI$286,18,FALSE))</f>
      </c>
      <c r="G38" s="168">
        <f>IF($F38="","",VLOOKUP($F38,Data!$A$71:$K$146,2,FALSE))</f>
      </c>
      <c r="H38" s="168">
        <f>IF($F38="","",VLOOKUP($F38,Data!$A$71:$K$146,7,FALSE))</f>
      </c>
      <c r="I38" s="196">
        <f>IF($F38="","",VLOOKUP($F38,Data!$A$71:$K$146,11,FALSE))</f>
      </c>
      <c r="K38" s="21"/>
      <c r="L38" s="21"/>
      <c r="M38" s="21"/>
    </row>
    <row r="39" spans="1:13" ht="15" customHeight="1">
      <c r="A39" s="20" t="s">
        <v>80</v>
      </c>
      <c r="B39" s="194">
        <f>IF($D$4="","",VLOOKUP($D$4,Data!$A$292:$AI$311,22,FALSE))</f>
      </c>
      <c r="C39" s="168">
        <f>IF($D$4="","",VLOOKUP($D$4,Data!$A$292:$AI$311,23,FALSE))</f>
      </c>
      <c r="D39" s="168">
        <f>IF($D$4="","",VLOOKUP($D$4,Data!$A$267:$AI$286,22,FALSE))</f>
      </c>
      <c r="E39" s="168">
        <f>IF($D$4="","",VLOOKUP($D$4,Data!$A$267:$AI$286,23,FALSE))</f>
      </c>
      <c r="F39" s="168">
        <f>IF($D$4="","",VLOOKUP($D$4,Data!$A$267:$AI$286,21,FALSE))</f>
      </c>
      <c r="G39" s="168">
        <f>IF($F39="","",VLOOKUP($F39,Data!$A$71:$K$146,2,FALSE))</f>
      </c>
      <c r="H39" s="168">
        <f>IF($F39="","",VLOOKUP($F39,Data!$A$71:$K$146,7,FALSE))</f>
      </c>
      <c r="I39" s="196">
        <f>IF($F39="","",VLOOKUP($F39,Data!$A$71:$K$146,11,FALSE))</f>
      </c>
      <c r="K39" s="21"/>
      <c r="L39" s="21"/>
      <c r="M39" s="21"/>
    </row>
    <row r="40" spans="1:13" ht="15" customHeight="1">
      <c r="A40" s="20" t="s">
        <v>81</v>
      </c>
      <c r="B40" s="194">
        <f>IF($D$4="","",VLOOKUP($D$4,Data!$A$292:$AI$311,25,FALSE))</f>
      </c>
      <c r="C40" s="168">
        <f>IF($D$4="","",VLOOKUP($D$4,Data!$A$292:$AI$311,26,FALSE))</f>
      </c>
      <c r="D40" s="168">
        <f>IF($D$4="","",VLOOKUP($D$4,Data!$A$267:$AI$286,25,FALSE))</f>
      </c>
      <c r="E40" s="168">
        <f>IF($D$4="","",VLOOKUP($D$4,Data!$A$267:$AI$286,26,FALSE))</f>
      </c>
      <c r="F40" s="168">
        <f>IF($D$4="","",VLOOKUP($D$4,Data!$A$267:$AI$286,24,FALSE))</f>
      </c>
      <c r="G40" s="168">
        <f>IF($F40="","",VLOOKUP($F40,Data!$A$71:$K$146,2,FALSE))</f>
      </c>
      <c r="H40" s="168">
        <f>IF($F40="","",VLOOKUP($F40,Data!$A$71:$K$146,7,FALSE))</f>
      </c>
      <c r="I40" s="196">
        <f>IF($F40="","",VLOOKUP($F40,Data!$A$71:$K$146,11,FALSE))</f>
      </c>
      <c r="K40" s="21"/>
      <c r="L40" s="21"/>
      <c r="M40" s="21"/>
    </row>
    <row r="41" spans="1:13" ht="15" customHeight="1">
      <c r="A41" s="20" t="s">
        <v>82</v>
      </c>
      <c r="B41" s="194">
        <f>IF($D$4="","",VLOOKUP($D$4,Data!$A$292:$AI$311,28,FALSE))</f>
      </c>
      <c r="C41" s="168">
        <f>IF($D$4="","",VLOOKUP($D$4,Data!$A$292:$AI$311,29,FALSE))</f>
      </c>
      <c r="D41" s="168">
        <f>IF($D$4="","",VLOOKUP($D$4,Data!$A$267:$AI$286,28,FALSE))</f>
      </c>
      <c r="E41" s="168">
        <f>IF($D$4="","",VLOOKUP($D$4,Data!$A$267:$AI$286,29,FALSE))</f>
      </c>
      <c r="F41" s="168">
        <f>IF($D$4="","",VLOOKUP($D$4,Data!$A$267:$AI$286,27,FALSE))</f>
      </c>
      <c r="G41" s="168">
        <f>IF($F41="","",VLOOKUP($F41,Data!$A$71:$K$146,2,FALSE))</f>
      </c>
      <c r="H41" s="168">
        <f>IF($F41="","",VLOOKUP($F41,Data!$A$71:$K$146,7,FALSE))</f>
      </c>
      <c r="I41" s="196">
        <f>IF($F41="","",VLOOKUP($F41,Data!$A$71:$K$146,11,FALSE))</f>
      </c>
      <c r="K41" s="21"/>
      <c r="L41" s="21"/>
      <c r="M41" s="21"/>
    </row>
    <row r="42" spans="1:13" ht="15" customHeight="1">
      <c r="A42" s="20" t="s">
        <v>83</v>
      </c>
      <c r="B42" s="194">
        <f>IF($D$4="","",VLOOKUP($D$4,Data!$A$292:$AI$311,31,FALSE))</f>
      </c>
      <c r="C42" s="168">
        <f>IF($D$4="","",VLOOKUP($D$4,Data!$A$292:$AI$311,32,FALSE))</f>
      </c>
      <c r="D42" s="168">
        <f>IF($D$4="","",VLOOKUP($D$4,Data!$A$267:$AI$286,31,FALSE))</f>
      </c>
      <c r="E42" s="168">
        <f>IF($D$4="","",VLOOKUP($D$4,Data!$A$267:$AI$286,32,FALSE))</f>
      </c>
      <c r="F42" s="168">
        <f>IF($D$4="","",VLOOKUP($D$4,Data!$A$267:$AI$286,30,FALSE))</f>
      </c>
      <c r="G42" s="168">
        <f>IF($F42="","",VLOOKUP($F42,Data!$A$71:$K$146,2,FALSE))</f>
      </c>
      <c r="H42" s="168">
        <f>IF($F42="","",VLOOKUP($F42,Data!$A$71:$K$146,7,FALSE))</f>
      </c>
      <c r="I42" s="196">
        <f>IF($F42="","",VLOOKUP($F42,Data!$A$71:$K$146,11,FALSE))</f>
      </c>
      <c r="K42" s="21"/>
      <c r="L42" s="21"/>
      <c r="M42" s="21"/>
    </row>
    <row r="43" spans="1:13" ht="15" customHeight="1">
      <c r="A43" s="20" t="s">
        <v>1231</v>
      </c>
      <c r="B43" s="358">
        <f>IF($D$4="","",VLOOKUP($D$4,Data!$A$292:$AI$311,34,FALSE))</f>
      </c>
      <c r="C43" s="359">
        <f>IF($D$4="","",VLOOKUP($D$4,Data!$A$292:$AI$311,35,FALSE))</f>
      </c>
      <c r="D43" s="359">
        <f>IF($D$4="","",VLOOKUP($D$4,Data!$A$267:$AI$286,34,FALSE))</f>
      </c>
      <c r="E43" s="359">
        <f>IF($D$4="","",VLOOKUP($D$4,Data!$A$267:$AI$286,35,FALSE))</f>
      </c>
      <c r="F43" s="359">
        <f>IF($D$4="","",VLOOKUP($D$4,Data!$A$267:$AI$286,33,FALSE))</f>
      </c>
      <c r="G43" s="359">
        <f>IF($F43="","",VLOOKUP($F43,Data!$A$71:$K$146,2,FALSE))</f>
      </c>
      <c r="H43" s="359">
        <f>IF($F43="","",VLOOKUP($F43,Data!$A$71:$K$146,7,FALSE))</f>
      </c>
      <c r="I43" s="360">
        <f>IF($F43="","",VLOOKUP($F43,Data!$A$71:$K$146,11,FALSE))</f>
      </c>
      <c r="K43" s="21"/>
      <c r="L43" s="21"/>
      <c r="M43" s="21"/>
    </row>
    <row r="44" spans="1:13" ht="15" customHeight="1">
      <c r="A44" s="185" t="s">
        <v>900</v>
      </c>
      <c r="B44" s="200"/>
      <c r="C44" s="25"/>
      <c r="D44" s="25"/>
      <c r="E44" s="25"/>
      <c r="F44" s="25"/>
      <c r="G44" s="25"/>
      <c r="H44" s="25"/>
      <c r="I44" s="361"/>
      <c r="K44" s="21"/>
      <c r="L44" s="21"/>
      <c r="M44" s="21"/>
    </row>
    <row r="45" spans="1:13" ht="15" customHeight="1">
      <c r="A45" s="185"/>
      <c r="B45" s="200"/>
      <c r="C45" s="168">
        <f>IF($B45="","",VLOOKUP($B45,Data!$B$316:$D$360,2,FALSE))</f>
      </c>
      <c r="D45" s="168">
        <f>IF($B45="","",VLOOKUP($B45,Data!$B$316:$D$360,3,FALSE))</f>
      </c>
      <c r="E45" s="25"/>
      <c r="F45" s="168">
        <f>IF($G45="","",VLOOKUP($G45,Data!$B$71:$K$146,3,FALSE))</f>
      </c>
      <c r="G45" s="25"/>
      <c r="H45" s="168">
        <f>IF($G45="","",VLOOKUP($G45,Data!$B$71:$K$146,6,FALSE))</f>
      </c>
      <c r="I45" s="196">
        <f>IF($G45="","",VLOOKUP($G45,Data!$B$71:$K$146,10,FALSE))</f>
      </c>
      <c r="K45" s="21"/>
      <c r="L45" s="21"/>
      <c r="M45" s="21"/>
    </row>
    <row r="46" spans="1:13" ht="15" customHeight="1">
      <c r="A46" s="185"/>
      <c r="B46" s="200"/>
      <c r="C46" s="168">
        <f>IF($B46="","",VLOOKUP($B46,Data!$B$316:$D$360,2,FALSE))</f>
      </c>
      <c r="D46" s="168">
        <f>IF($B46="","",VLOOKUP($B46,Data!$B$316:$D$360,3,FALSE))</f>
      </c>
      <c r="E46" s="25"/>
      <c r="F46" s="168">
        <f>IF($G46="","",VLOOKUP($G46,Data!$B$71:$K$146,3,FALSE))</f>
      </c>
      <c r="G46" s="25"/>
      <c r="H46" s="168">
        <f>IF($G46="","",VLOOKUP($G46,Data!$B$71:$K$146,6,FALSE))</f>
      </c>
      <c r="I46" s="196">
        <f>IF($G46="","",VLOOKUP($G46,Data!$B$71:$K$146,10,FALSE))</f>
      </c>
      <c r="K46" s="21"/>
      <c r="L46" s="21"/>
      <c r="M46" s="21"/>
    </row>
    <row r="47" spans="1:13" ht="12.75">
      <c r="A47" s="185"/>
      <c r="B47" s="200"/>
      <c r="C47" s="168">
        <f>IF($B47="","",VLOOKUP($B47,Data!$B$316:$D$360,2,FALSE))</f>
      </c>
      <c r="D47" s="168">
        <f>IF($B47="","",VLOOKUP($B47,Data!$B$316:$D$360,3,FALSE))</f>
      </c>
      <c r="E47" s="25"/>
      <c r="F47" s="168">
        <f>IF($G47="","",VLOOKUP($G47,Data!$B$71:$K$146,3,FALSE))</f>
      </c>
      <c r="G47" s="25"/>
      <c r="H47" s="168">
        <f>IF($G47="","",VLOOKUP($G47,Data!$B$71:$K$146,6,FALSE))</f>
      </c>
      <c r="I47" s="196">
        <f>IF($G47="","",VLOOKUP($G47,Data!$B$71:$K$146,10,FALSE))</f>
      </c>
      <c r="J47" s="22"/>
      <c r="K47" s="23"/>
      <c r="L47" s="21"/>
      <c r="M47" s="21"/>
    </row>
    <row r="48" spans="1:13" ht="12.75">
      <c r="A48" s="185"/>
      <c r="B48" s="200"/>
      <c r="C48" s="168">
        <f>IF($B48="","",VLOOKUP($B48,Data!$B$316:$D$360,2,FALSE))</f>
      </c>
      <c r="D48" s="168">
        <f>IF($B48="","",VLOOKUP($B48,Data!$B$316:$D$360,3,FALSE))</f>
      </c>
      <c r="E48" s="25"/>
      <c r="F48" s="168">
        <f>IF($G48="","",VLOOKUP($G48,Data!$B$71:$K$146,3,FALSE))</f>
      </c>
      <c r="G48" s="25"/>
      <c r="H48" s="168">
        <f>IF($G48="","",VLOOKUP($G48,Data!$B$71:$K$146,6,FALSE))</f>
      </c>
      <c r="I48" s="196">
        <f>IF($G48="","",VLOOKUP($G48,Data!$B$71:$K$146,10,FALSE))</f>
      </c>
      <c r="J48" s="22"/>
      <c r="K48" s="23"/>
      <c r="L48" s="21"/>
      <c r="M48" s="21"/>
    </row>
    <row r="49" spans="1:13" ht="12.75">
      <c r="A49" s="185"/>
      <c r="B49" s="200"/>
      <c r="C49" s="168">
        <f>IF($B49="","",VLOOKUP($B49,Data!$B$316:$D$360,2,FALSE))</f>
      </c>
      <c r="D49" s="168">
        <f>IF($B49="","",VLOOKUP($B49,Data!$B$316:$D$360,3,FALSE))</f>
      </c>
      <c r="E49" s="25"/>
      <c r="F49" s="168">
        <f>IF($G49="","",VLOOKUP($G49,Data!$B$71:$K$146,3,FALSE))</f>
      </c>
      <c r="G49" s="25"/>
      <c r="H49" s="168">
        <f>IF($G49="","",VLOOKUP($G49,Data!$B$71:$K$146,6,FALSE))</f>
      </c>
      <c r="I49" s="196">
        <f>IF($G49="","",VLOOKUP($G49,Data!$B$71:$K$146,10,FALSE))</f>
      </c>
      <c r="J49" s="22"/>
      <c r="K49" s="23"/>
      <c r="L49" s="21"/>
      <c r="M49" s="21"/>
    </row>
    <row r="50" spans="1:13" ht="12.75">
      <c r="A50" s="745"/>
      <c r="B50" s="200"/>
      <c r="C50" s="168">
        <f>IF($B50="","",VLOOKUP($B50,Data!$B$316:$D$360,2,FALSE))</f>
      </c>
      <c r="D50" s="168">
        <f>IF($B50="","",VLOOKUP($B50,Data!$B$316:$D$360,3,FALSE))</f>
      </c>
      <c r="E50" s="25"/>
      <c r="F50" s="168">
        <f>IF($G50="","",VLOOKUP($G50,Data!$B$71:$K$146,3,FALSE))</f>
      </c>
      <c r="G50" s="25"/>
      <c r="H50" s="168">
        <f>IF($G50="","",VLOOKUP($G50,Data!$B$71:$K$146,6,FALSE))</f>
      </c>
      <c r="I50" s="196">
        <f>IF($G50="","",VLOOKUP($G50,Data!$B$71:$K$146,10,FALSE))</f>
      </c>
      <c r="J50" s="23"/>
      <c r="K50" s="23"/>
      <c r="L50" s="21"/>
      <c r="M50" s="21"/>
    </row>
    <row r="51" spans="1:13" ht="12.75">
      <c r="A51" s="745"/>
      <c r="B51" s="200"/>
      <c r="C51" s="168">
        <f>IF($B51="","",VLOOKUP($B51,Data!$B$316:$D$360,2,FALSE))</f>
      </c>
      <c r="D51" s="168">
        <f>IF($B51="","",VLOOKUP($B51,Data!$B$316:$D$360,3,FALSE))</f>
      </c>
      <c r="E51" s="25"/>
      <c r="F51" s="168">
        <f>IF($G51="","",VLOOKUP($G51,Data!$B$71:$K$146,3,FALSE))</f>
      </c>
      <c r="G51" s="25"/>
      <c r="H51" s="168">
        <f>IF($G51="","",VLOOKUP($G51,Data!$B$71:$K$146,6,FALSE))</f>
      </c>
      <c r="I51" s="196">
        <f>IF($G51="","",VLOOKUP($G51,Data!$B$71:$K$146,10,FALSE))</f>
      </c>
      <c r="J51" s="23"/>
      <c r="K51" s="23"/>
      <c r="L51" s="21"/>
      <c r="M51" s="21"/>
    </row>
    <row r="52" spans="1:13" ht="12.75">
      <c r="A52" s="745"/>
      <c r="B52" s="200"/>
      <c r="C52" s="168">
        <f>IF($B52="","",VLOOKUP($B52,Data!$B$316:$D$360,2,FALSE))</f>
      </c>
      <c r="D52" s="168">
        <f>IF($B52="","",VLOOKUP($B52,Data!$B$316:$D$360,3,FALSE))</f>
      </c>
      <c r="E52" s="25"/>
      <c r="F52" s="168">
        <f>IF($G52="","",VLOOKUP($G52,Data!$B$71:$K$146,3,FALSE))</f>
      </c>
      <c r="G52" s="25"/>
      <c r="H52" s="168">
        <f>IF($G52="","",VLOOKUP($G52,Data!$B$71:$K$146,6,FALSE))</f>
      </c>
      <c r="I52" s="196">
        <f>IF($G52="","",VLOOKUP($G52,Data!$B$71:$K$146,10,FALSE))</f>
      </c>
      <c r="J52" s="23"/>
      <c r="K52" s="23"/>
      <c r="L52" s="21"/>
      <c r="M52" s="21"/>
    </row>
    <row r="53" spans="1:13" ht="12.75">
      <c r="A53" s="745"/>
      <c r="B53" s="200"/>
      <c r="C53" s="168">
        <f>IF($B53="","",VLOOKUP($B53,Data!$B$316:$D$360,2,FALSE))</f>
      </c>
      <c r="D53" s="168">
        <f>IF($B53="","",VLOOKUP($B53,Data!$B$316:$D$360,3,FALSE))</f>
      </c>
      <c r="E53" s="25"/>
      <c r="F53" s="168">
        <f>IF($G53="","",VLOOKUP($G53,Data!$B$71:$K$146,3,FALSE))</f>
      </c>
      <c r="G53" s="25"/>
      <c r="H53" s="168">
        <f>IF($G53="","",VLOOKUP($G53,Data!$B$71:$K$146,6,FALSE))</f>
      </c>
      <c r="I53" s="196">
        <f>IF($G53="","",VLOOKUP($G53,Data!$B$71:$K$146,10,FALSE))</f>
      </c>
      <c r="J53" s="23"/>
      <c r="K53" s="23"/>
      <c r="L53" s="21"/>
      <c r="M53" s="21"/>
    </row>
    <row r="54" spans="1:13" ht="12.75">
      <c r="A54" s="745"/>
      <c r="B54" s="200"/>
      <c r="C54" s="168">
        <f>IF($B54="","",VLOOKUP($B54,Data!$B$316:$D$360,2,FALSE))</f>
      </c>
      <c r="D54" s="168">
        <f>IF($B54="","",VLOOKUP($B54,Data!$B$316:$D$360,3,FALSE))</f>
      </c>
      <c r="E54" s="25"/>
      <c r="F54" s="168">
        <f>IF($G54="","",VLOOKUP($G54,Data!$B$71:$K$146,3,FALSE))</f>
      </c>
      <c r="G54" s="25"/>
      <c r="H54" s="168">
        <f>IF($G54="","",VLOOKUP($G54,Data!$B$71:$K$146,6,FALSE))</f>
      </c>
      <c r="I54" s="196">
        <f>IF($G54="","",VLOOKUP($G54,Data!$B$71:$K$146,10,FALSE))</f>
      </c>
      <c r="J54" s="23"/>
      <c r="K54" s="23"/>
      <c r="L54" s="21"/>
      <c r="M54" s="21"/>
    </row>
    <row r="55" spans="1:13" ht="13.5" thickBot="1">
      <c r="A55" s="745"/>
      <c r="B55" s="201"/>
      <c r="C55" s="202">
        <f>IF($B55="","",VLOOKUP($B55,Data!$B$316:$D$360,2,FALSE))</f>
      </c>
      <c r="D55" s="202">
        <f>IF($B55="","",VLOOKUP($B55,Data!$B$316:$D$360,3,FALSE))</f>
      </c>
      <c r="E55" s="203"/>
      <c r="F55" s="202">
        <f>IF($G55="","",VLOOKUP($G55,Data!$B$71:$K$146,3,FALSE))</f>
      </c>
      <c r="G55" s="203"/>
      <c r="H55" s="202">
        <f>IF($G55="","",VLOOKUP($G55,Data!$B$71:$K$146,6,FALSE))</f>
      </c>
      <c r="I55" s="204">
        <f>IF($G55="","",VLOOKUP($G55,Data!$B$71:$K$146,10,FALSE))</f>
      </c>
      <c r="J55" s="23"/>
      <c r="K55" s="23"/>
      <c r="L55" s="21"/>
      <c r="M55" s="21"/>
    </row>
    <row r="56" spans="1:13" ht="12.75">
      <c r="A56" s="493"/>
      <c r="B56" s="493"/>
      <c r="C56" s="493"/>
      <c r="D56" s="493"/>
      <c r="E56" s="493"/>
      <c r="F56" s="493"/>
      <c r="G56" s="493"/>
      <c r="H56" s="493"/>
      <c r="I56" s="493"/>
      <c r="J56" s="23"/>
      <c r="K56" s="23"/>
      <c r="L56" s="21"/>
      <c r="M56" s="21"/>
    </row>
    <row r="57" spans="1:13" ht="12.75">
      <c r="A57" s="493"/>
      <c r="B57" s="493"/>
      <c r="C57" s="493"/>
      <c r="D57" s="493"/>
      <c r="E57" s="493"/>
      <c r="F57" s="493"/>
      <c r="G57" s="493"/>
      <c r="H57" s="493"/>
      <c r="I57" s="493"/>
      <c r="J57" s="23"/>
      <c r="K57" s="23"/>
      <c r="L57" s="21"/>
      <c r="M57" s="21"/>
    </row>
    <row r="58" spans="1:13" ht="12.75">
      <c r="A58" s="1036" t="s">
        <v>865</v>
      </c>
      <c r="B58" s="1036"/>
      <c r="C58" s="1030"/>
      <c r="D58" s="1036"/>
      <c r="E58" s="1036"/>
      <c r="F58" s="1036"/>
      <c r="G58" s="1036"/>
      <c r="H58" s="1036"/>
      <c r="I58" s="1036"/>
      <c r="J58" s="23"/>
      <c r="K58" s="23"/>
      <c r="L58" s="21"/>
      <c r="M58" s="21"/>
    </row>
    <row r="59" spans="1:13" ht="13.5" thickBot="1">
      <c r="A59" s="66"/>
      <c r="B59" s="66"/>
      <c r="C59" s="66"/>
      <c r="D59" s="66"/>
      <c r="E59" s="66"/>
      <c r="F59" s="66"/>
      <c r="G59" s="66"/>
      <c r="H59" s="66"/>
      <c r="I59" s="66"/>
      <c r="J59" s="23"/>
      <c r="K59" s="23"/>
      <c r="L59" s="21"/>
      <c r="M59" s="21"/>
    </row>
    <row r="60" spans="1:13" ht="13.5" thickBot="1">
      <c r="A60" s="66"/>
      <c r="B60" s="181" t="s">
        <v>606</v>
      </c>
      <c r="C60" s="182" t="s">
        <v>607</v>
      </c>
      <c r="D60" s="182" t="s">
        <v>146</v>
      </c>
      <c r="E60" s="183" t="s">
        <v>1012</v>
      </c>
      <c r="F60" s="182" t="s">
        <v>1239</v>
      </c>
      <c r="G60" s="181" t="s">
        <v>609</v>
      </c>
      <c r="H60" s="182" t="s">
        <v>866</v>
      </c>
      <c r="I60" s="183" t="s">
        <v>610</v>
      </c>
      <c r="J60" s="23"/>
      <c r="K60" s="23"/>
      <c r="L60" s="21"/>
      <c r="M60" s="21"/>
    </row>
    <row r="61" spans="1:13" ht="12.75">
      <c r="A61" s="185"/>
      <c r="B61" s="198"/>
      <c r="C61" s="184">
        <f>IF($B61="","",VLOOKUP($B61,Data!$B$316:$D$360,2,FALSE))</f>
      </c>
      <c r="D61" s="184">
        <f>IF($B61="","",VLOOKUP($B61,Data!$B$316:$D$360,3,FALSE))</f>
      </c>
      <c r="E61" s="199"/>
      <c r="F61" s="184">
        <f>IF($G61="","",VLOOKUP($G61,Data!$B$71:$K$146,3,FALSE))</f>
      </c>
      <c r="G61" s="199"/>
      <c r="H61" s="184">
        <f>IF($G61="","",VLOOKUP($G61,Data!$B$71:$K$146,6,FALSE))</f>
      </c>
      <c r="I61" s="195">
        <f>IF($G61="","",VLOOKUP($G61,Data!$B$71:$K$146,10,FALSE))</f>
      </c>
      <c r="J61" s="23"/>
      <c r="K61" s="23"/>
      <c r="L61" s="21"/>
      <c r="M61" s="21"/>
    </row>
    <row r="62" spans="1:13" ht="12.75">
      <c r="A62" s="185"/>
      <c r="B62" s="200"/>
      <c r="C62" s="168">
        <f>IF($B62="","",VLOOKUP($B62,Data!$B$316:$D$360,2,FALSE))</f>
      </c>
      <c r="D62" s="168">
        <f>IF($B62="","",VLOOKUP($B62,Data!$B$316:$D$360,3,FALSE))</f>
      </c>
      <c r="E62" s="25"/>
      <c r="F62" s="168">
        <f>IF($G62="","",VLOOKUP($G62,Data!$B$71:$K$146,3,FALSE))</f>
      </c>
      <c r="G62" s="25"/>
      <c r="H62" s="168">
        <f>IF($G62="","",VLOOKUP($G62,Data!$B$71:$K$146,6,FALSE))</f>
      </c>
      <c r="I62" s="196">
        <f>IF($G62="","",VLOOKUP($G62,Data!$B$71:$K$146,10,FALSE))</f>
      </c>
      <c r="J62" s="23"/>
      <c r="K62" s="23"/>
      <c r="L62" s="21"/>
      <c r="M62" s="21"/>
    </row>
    <row r="63" spans="1:13" ht="12.75">
      <c r="A63" s="185"/>
      <c r="B63" s="200"/>
      <c r="C63" s="168">
        <f>IF($B63="","",VLOOKUP($B63,Data!$B$316:$D$360,2,FALSE))</f>
      </c>
      <c r="D63" s="168">
        <f>IF($B63="","",VLOOKUP($B63,Data!$B$316:$D$360,3,FALSE))</f>
      </c>
      <c r="E63" s="25"/>
      <c r="F63" s="168">
        <f>IF($G63="","",VLOOKUP($G63,Data!$B$71:$K$146,3,FALSE))</f>
      </c>
      <c r="G63" s="25"/>
      <c r="H63" s="168">
        <f>IF($G63="","",VLOOKUP($G63,Data!$B$71:$K$146,6,FALSE))</f>
      </c>
      <c r="I63" s="196">
        <f>IF($G63="","",VLOOKUP($G63,Data!$B$71:$K$146,10,FALSE))</f>
      </c>
      <c r="J63" s="23"/>
      <c r="K63" s="23"/>
      <c r="L63" s="21"/>
      <c r="M63" s="21"/>
    </row>
    <row r="64" spans="1:13" ht="12.75">
      <c r="A64" s="185"/>
      <c r="B64" s="200"/>
      <c r="C64" s="168">
        <f>IF($B64="","",VLOOKUP($B64,Data!$B$316:$D$360,2,FALSE))</f>
      </c>
      <c r="D64" s="168">
        <f>IF($B64="","",VLOOKUP($B64,Data!$B$316:$D$360,3,FALSE))</f>
      </c>
      <c r="E64" s="25"/>
      <c r="F64" s="168">
        <f>IF($G64="","",VLOOKUP($G64,Data!$B$71:$K$146,3,FALSE))</f>
      </c>
      <c r="G64" s="25"/>
      <c r="H64" s="168">
        <f>IF($G64="","",VLOOKUP($G64,Data!$B$71:$K$146,6,FALSE))</f>
      </c>
      <c r="I64" s="196">
        <f>IF($G64="","",VLOOKUP($G64,Data!$B$71:$K$146,10,FALSE))</f>
      </c>
      <c r="J64" s="23"/>
      <c r="K64" s="23"/>
      <c r="L64" s="21"/>
      <c r="M64" s="21"/>
    </row>
    <row r="65" spans="1:13" ht="12.75">
      <c r="A65" s="185"/>
      <c r="B65" s="200"/>
      <c r="C65" s="168">
        <f>IF($B65="","",VLOOKUP($B65,Data!$B$316:$D$360,2,FALSE))</f>
      </c>
      <c r="D65" s="168">
        <f>IF($B65="","",VLOOKUP($B65,Data!$B$316:$D$360,3,FALSE))</f>
      </c>
      <c r="E65" s="25"/>
      <c r="F65" s="168">
        <f>IF($G65="","",VLOOKUP($G65,Data!$B$71:$K$146,3,FALSE))</f>
      </c>
      <c r="G65" s="25"/>
      <c r="H65" s="168">
        <f>IF($G65="","",VLOOKUP($G65,Data!$B$71:$K$146,6,FALSE))</f>
      </c>
      <c r="I65" s="196">
        <f>IF($G65="","",VLOOKUP($G65,Data!$B$71:$K$146,10,FALSE))</f>
      </c>
      <c r="J65" s="23"/>
      <c r="K65" s="23"/>
      <c r="L65" s="21"/>
      <c r="M65" s="21"/>
    </row>
    <row r="66" spans="1:13" ht="12.75">
      <c r="A66" s="185"/>
      <c r="B66" s="200"/>
      <c r="C66" s="168">
        <f>IF($B66="","",VLOOKUP($B66,Data!$B$316:$D$360,2,FALSE))</f>
      </c>
      <c r="D66" s="168">
        <f>IF($B66="","",VLOOKUP($B66,Data!$B$316:$D$360,3,FALSE))</f>
      </c>
      <c r="E66" s="25"/>
      <c r="F66" s="168">
        <f>IF($G66="","",VLOOKUP($G66,Data!$B$71:$K$146,3,FALSE))</f>
      </c>
      <c r="G66" s="25"/>
      <c r="H66" s="168">
        <f>IF($G66="","",VLOOKUP($G66,Data!$B$71:$K$146,6,FALSE))</f>
      </c>
      <c r="I66" s="196">
        <f>IF($G66="","",VLOOKUP($G66,Data!$B$71:$K$146,10,FALSE))</f>
      </c>
      <c r="J66" s="23"/>
      <c r="K66" s="23"/>
      <c r="L66" s="21"/>
      <c r="M66" s="21"/>
    </row>
    <row r="67" spans="1:13" ht="12.75">
      <c r="A67" s="185"/>
      <c r="B67" s="200"/>
      <c r="C67" s="168">
        <f>IF($B67="","",VLOOKUP($B67,Data!$B$316:$D$360,2,FALSE))</f>
      </c>
      <c r="D67" s="168">
        <f>IF($B67="","",VLOOKUP($B67,Data!$B$316:$D$360,3,FALSE))</f>
      </c>
      <c r="E67" s="25"/>
      <c r="F67" s="168">
        <f>IF($G67="","",VLOOKUP($G67,Data!$B$71:$K$146,3,FALSE))</f>
      </c>
      <c r="G67" s="25"/>
      <c r="H67" s="168">
        <f>IF($G67="","",VLOOKUP($G67,Data!$B$71:$K$146,6,FALSE))</f>
      </c>
      <c r="I67" s="196">
        <f>IF($G67="","",VLOOKUP($G67,Data!$B$71:$K$146,10,FALSE))</f>
      </c>
      <c r="J67" s="23"/>
      <c r="K67" s="23"/>
      <c r="L67" s="21"/>
      <c r="M67" s="21"/>
    </row>
    <row r="68" spans="1:13" ht="12.75">
      <c r="A68" s="185"/>
      <c r="B68" s="200"/>
      <c r="C68" s="168">
        <f>IF($B68="","",VLOOKUP($B68,Data!$B$316:$D$360,2,FALSE))</f>
      </c>
      <c r="D68" s="168">
        <f>IF($B68="","",VLOOKUP($B68,Data!$B$316:$D$360,3,FALSE))</f>
      </c>
      <c r="E68" s="25"/>
      <c r="F68" s="168">
        <f>IF($G68="","",VLOOKUP($G68,Data!$B$71:$K$146,3,FALSE))</f>
      </c>
      <c r="G68" s="25"/>
      <c r="H68" s="168">
        <f>IF($G68="","",VLOOKUP($G68,Data!$B$71:$K$146,6,FALSE))</f>
      </c>
      <c r="I68" s="196">
        <f>IF($G68="","",VLOOKUP($G68,Data!$B$71:$K$146,10,FALSE))</f>
      </c>
      <c r="J68" s="23"/>
      <c r="K68" s="23"/>
      <c r="L68" s="21"/>
      <c r="M68" s="21"/>
    </row>
    <row r="69" spans="1:13" ht="12.75">
      <c r="A69" s="745"/>
      <c r="B69" s="200"/>
      <c r="C69" s="168">
        <f>IF($B69="","",VLOOKUP($B69,Data!$B$316:$D$360,2,FALSE))</f>
      </c>
      <c r="D69" s="168">
        <f>IF($B69="","",VLOOKUP($B69,Data!$B$316:$D$360,3,FALSE))</f>
      </c>
      <c r="E69" s="25"/>
      <c r="F69" s="168">
        <f>IF($G69="","",VLOOKUP($G69,Data!$B$71:$K$146,3,FALSE))</f>
      </c>
      <c r="G69" s="25"/>
      <c r="H69" s="168">
        <f>IF($G69="","",VLOOKUP($G69,Data!$B$71:$K$146,6,FALSE))</f>
      </c>
      <c r="I69" s="196">
        <f>IF($G69="","",VLOOKUP($G69,Data!$B$71:$K$146,10,FALSE))</f>
      </c>
      <c r="J69" s="23"/>
      <c r="K69" s="23"/>
      <c r="L69" s="21"/>
      <c r="M69" s="21"/>
    </row>
    <row r="70" spans="1:13" ht="12.75">
      <c r="A70" s="185"/>
      <c r="B70" s="200"/>
      <c r="C70" s="168">
        <f>IF($B70="","",VLOOKUP($B70,Data!$B$316:$D$360,2,FALSE))</f>
      </c>
      <c r="D70" s="168">
        <f>IF($B70="","",VLOOKUP($B70,Data!$B$316:$D$360,3,FALSE))</f>
      </c>
      <c r="E70" s="25"/>
      <c r="F70" s="168">
        <f>IF($G70="","",VLOOKUP($G70,Data!$B$71:$K$146,3,FALSE))</f>
      </c>
      <c r="G70" s="25"/>
      <c r="H70" s="168">
        <f>IF($G70="","",VLOOKUP($G70,Data!$B$71:$K$146,6,FALSE))</f>
      </c>
      <c r="I70" s="196">
        <f>IF($G70="","",VLOOKUP($G70,Data!$B$71:$K$146,10,FALSE))</f>
      </c>
      <c r="J70" s="23"/>
      <c r="K70" s="23"/>
      <c r="L70" s="21"/>
      <c r="M70" s="21"/>
    </row>
    <row r="71" spans="1:9" ht="12.75">
      <c r="A71" s="185"/>
      <c r="B71" s="200"/>
      <c r="C71" s="168">
        <f>IF($B71="","",VLOOKUP($B71,Data!$B$316:$D$360,2,FALSE))</f>
      </c>
      <c r="D71" s="168">
        <f>IF($B71="","",VLOOKUP($B71,Data!$B$316:$D$360,3,FALSE))</f>
      </c>
      <c r="E71" s="25"/>
      <c r="F71" s="168">
        <f>IF($G71="","",VLOOKUP($G71,Data!$B$71:$K$146,3,FALSE))</f>
      </c>
      <c r="G71" s="25"/>
      <c r="H71" s="168">
        <f>IF($G71="","",VLOOKUP($G71,Data!$B$71:$K$146,6,FALSE))</f>
      </c>
      <c r="I71" s="196">
        <f>IF($G71="","",VLOOKUP($G71,Data!$B$71:$K$146,10,FALSE))</f>
      </c>
    </row>
    <row r="72" spans="1:9" ht="12.75">
      <c r="A72" s="185"/>
      <c r="B72" s="200"/>
      <c r="C72" s="168">
        <f>IF($B72="","",VLOOKUP($B72,Data!$B$316:$D$360,2,FALSE))</f>
      </c>
      <c r="D72" s="168">
        <f>IF($B72="","",VLOOKUP($B72,Data!$B$316:$D$360,3,FALSE))</f>
      </c>
      <c r="E72" s="25"/>
      <c r="F72" s="168">
        <f>IF($G72="","",VLOOKUP($G72,Data!$B$71:$K$146,3,FALSE))</f>
      </c>
      <c r="G72" s="25"/>
      <c r="H72" s="168">
        <f>IF($G72="","",VLOOKUP($G72,Data!$B$71:$K$146,6,FALSE))</f>
      </c>
      <c r="I72" s="196">
        <f>IF($G72="","",VLOOKUP($G72,Data!$B$71:$K$146,10,FALSE))</f>
      </c>
    </row>
    <row r="73" spans="1:9" ht="12.75">
      <c r="A73" s="16"/>
      <c r="B73" s="200"/>
      <c r="C73" s="168">
        <f>IF($B73="","",VLOOKUP($B73,Data!$B$316:$D$360,2,FALSE))</f>
      </c>
      <c r="D73" s="168">
        <f>IF($B73="","",VLOOKUP($B73,Data!$B$316:$D$360,3,FALSE))</f>
      </c>
      <c r="E73" s="25"/>
      <c r="F73" s="168">
        <f>IF($G73="","",VLOOKUP($G73,Data!$B$71:$K$146,3,FALSE))</f>
      </c>
      <c r="G73" s="25"/>
      <c r="H73" s="168">
        <f>IF($G73="","",VLOOKUP($G73,Data!$B$71:$K$146,6,FALSE))</f>
      </c>
      <c r="I73" s="196">
        <f>IF($G73="","",VLOOKUP($G73,Data!$B$71:$K$146,10,FALSE))</f>
      </c>
    </row>
    <row r="74" spans="1:9" ht="12.75">
      <c r="A74" s="16"/>
      <c r="B74" s="200"/>
      <c r="C74" s="168">
        <f>IF($B74="","",VLOOKUP($B74,Data!$B$316:$D$360,2,FALSE))</f>
      </c>
      <c r="D74" s="168">
        <f>IF($B74="","",VLOOKUP($B74,Data!$B$316:$D$360,3,FALSE))</f>
      </c>
      <c r="E74" s="25"/>
      <c r="F74" s="168">
        <f>IF($G74="","",VLOOKUP($G74,Data!$B$71:$K$146,3,FALSE))</f>
      </c>
      <c r="G74" s="25"/>
      <c r="H74" s="168">
        <f>IF($G74="","",VLOOKUP($G74,Data!$B$71:$K$146,6,FALSE))</f>
      </c>
      <c r="I74" s="196">
        <f>IF($G74="","",VLOOKUP($G74,Data!$B$71:$K$146,10,FALSE))</f>
      </c>
    </row>
    <row r="75" spans="1:9" ht="12.75">
      <c r="A75" s="16"/>
      <c r="B75" s="200"/>
      <c r="C75" s="168">
        <f>IF($B75="","",VLOOKUP($B75,Data!$B$316:$D$360,2,FALSE))</f>
      </c>
      <c r="D75" s="168">
        <f>IF($B75="","",VLOOKUP($B75,Data!$B$316:$D$360,3,FALSE))</f>
      </c>
      <c r="E75" s="25"/>
      <c r="F75" s="168">
        <f>IF($G75="","",VLOOKUP($G75,Data!$B$71:$K$146,3,FALSE))</f>
      </c>
      <c r="G75" s="25"/>
      <c r="H75" s="168">
        <f>IF($G75="","",VLOOKUP($G75,Data!$B$71:$K$146,6,FALSE))</f>
      </c>
      <c r="I75" s="196">
        <f>IF($G75="","",VLOOKUP($G75,Data!$B$71:$K$146,10,FALSE))</f>
      </c>
    </row>
    <row r="76" spans="1:9" ht="12.75">
      <c r="A76" s="16"/>
      <c r="B76" s="200"/>
      <c r="C76" s="168">
        <f>IF($B76="","",VLOOKUP($B76,Data!$B$316:$D$360,2,FALSE))</f>
      </c>
      <c r="D76" s="168">
        <f>IF($B76="","",VLOOKUP($B76,Data!$B$316:$D$360,3,FALSE))</f>
      </c>
      <c r="E76" s="25"/>
      <c r="F76" s="168">
        <f>IF($G76="","",VLOOKUP($G76,Data!$B$71:$K$146,3,FALSE))</f>
      </c>
      <c r="G76" s="25"/>
      <c r="H76" s="168">
        <f>IF($G76="","",VLOOKUP($G76,Data!$B$71:$K$146,6,FALSE))</f>
      </c>
      <c r="I76" s="196">
        <f>IF($G76="","",VLOOKUP($G76,Data!$B$71:$K$146,10,FALSE))</f>
      </c>
    </row>
    <row r="77" spans="1:9" ht="12.75">
      <c r="A77" s="16"/>
      <c r="B77" s="200"/>
      <c r="C77" s="168">
        <f>IF($B77="","",VLOOKUP($B77,Data!$B$316:$D$360,2,FALSE))</f>
      </c>
      <c r="D77" s="168">
        <f>IF($B77="","",VLOOKUP($B77,Data!$B$316:$D$360,3,FALSE))</f>
      </c>
      <c r="E77" s="25"/>
      <c r="F77" s="168">
        <f>IF($G77="","",VLOOKUP($G77,Data!$B$71:$K$146,3,FALSE))</f>
      </c>
      <c r="G77" s="25"/>
      <c r="H77" s="168">
        <f>IF($G77="","",VLOOKUP($G77,Data!$B$71:$K$146,6,FALSE))</f>
      </c>
      <c r="I77" s="196">
        <f>IF($G77="","",VLOOKUP($G77,Data!$B$71:$K$146,10,FALSE))</f>
      </c>
    </row>
    <row r="78" spans="1:9" ht="12.75">
      <c r="A78" s="16"/>
      <c r="B78" s="200"/>
      <c r="C78" s="168">
        <f>IF($B78="","",VLOOKUP($B78,Data!$B$316:$D$360,2,FALSE))</f>
      </c>
      <c r="D78" s="168">
        <f>IF($B78="","",VLOOKUP($B78,Data!$B$316:$D$360,3,FALSE))</f>
      </c>
      <c r="E78" s="25"/>
      <c r="F78" s="168">
        <f>IF($G78="","",VLOOKUP($G78,Data!$B$71:$K$146,3,FALSE))</f>
      </c>
      <c r="G78" s="25"/>
      <c r="H78" s="168">
        <f>IF($G78="","",VLOOKUP($G78,Data!$B$71:$K$146,6,FALSE))</f>
      </c>
      <c r="I78" s="196">
        <f>IF($G78="","",VLOOKUP($G78,Data!$B$71:$K$146,10,FALSE))</f>
      </c>
    </row>
    <row r="79" spans="1:9" ht="12.75">
      <c r="A79" s="16"/>
      <c r="B79" s="200"/>
      <c r="C79" s="168">
        <f>IF($B79="","",VLOOKUP($B79,Data!$B$316:$D$360,2,FALSE))</f>
      </c>
      <c r="D79" s="168">
        <f>IF($B79="","",VLOOKUP($B79,Data!$B$316:$D$360,3,FALSE))</f>
      </c>
      <c r="E79" s="25"/>
      <c r="F79" s="168">
        <f>IF($G79="","",VLOOKUP($G79,Data!$B$71:$K$146,3,FALSE))</f>
      </c>
      <c r="G79" s="25"/>
      <c r="H79" s="168">
        <f>IF($G79="","",VLOOKUP($G79,Data!$B$71:$K$146,6,FALSE))</f>
      </c>
      <c r="I79" s="196">
        <f>IF($G79="","",VLOOKUP($G79,Data!$B$71:$K$146,10,FALSE))</f>
      </c>
    </row>
    <row r="80" spans="1:9" ht="12.75">
      <c r="A80" s="16"/>
      <c r="B80" s="200"/>
      <c r="C80" s="168">
        <f>IF($B80="","",VLOOKUP($B80,Data!$B$316:$D$360,2,FALSE))</f>
      </c>
      <c r="D80" s="168">
        <f>IF($B80="","",VLOOKUP($B80,Data!$B$316:$D$360,3,FALSE))</f>
      </c>
      <c r="E80" s="25"/>
      <c r="F80" s="168">
        <f>IF($G80="","",VLOOKUP($G80,Data!$B$71:$K$146,3,FALSE))</f>
      </c>
      <c r="G80" s="25"/>
      <c r="H80" s="168">
        <f>IF($G80="","",VLOOKUP($G80,Data!$B$71:$K$146,6,FALSE))</f>
      </c>
      <c r="I80" s="196">
        <f>IF($G80="","",VLOOKUP($G80,Data!$B$71:$K$146,10,FALSE))</f>
      </c>
    </row>
    <row r="81" spans="1:9" ht="12.75">
      <c r="A81" s="16"/>
      <c r="B81" s="200"/>
      <c r="C81" s="168">
        <f>IF($B81="","",VLOOKUP($B81,Data!$B$316:$D$360,2,FALSE))</f>
      </c>
      <c r="D81" s="168">
        <f>IF($B81="","",VLOOKUP($B81,Data!$B$316:$D$360,3,FALSE))</f>
      </c>
      <c r="E81" s="25"/>
      <c r="F81" s="168">
        <f>IF($G81="","",VLOOKUP($G81,Data!$B$71:$K$146,3,FALSE))</f>
      </c>
      <c r="G81" s="25"/>
      <c r="H81" s="168">
        <f>IF($G81="","",VLOOKUP($G81,Data!$B$71:$K$146,6,FALSE))</f>
      </c>
      <c r="I81" s="196">
        <f>IF($G81="","",VLOOKUP($G81,Data!$B$71:$K$146,10,FALSE))</f>
      </c>
    </row>
    <row r="82" spans="1:9" ht="13.5" thickBot="1">
      <c r="A82" s="16"/>
      <c r="B82" s="201"/>
      <c r="C82" s="202">
        <f>IF($B82="","",VLOOKUP($B82,Data!$B$316:$D$360,2,FALSE))</f>
      </c>
      <c r="D82" s="202">
        <f>IF($B82="","",VLOOKUP($B82,Data!$B$316:$D$360,3,FALSE))</f>
      </c>
      <c r="E82" s="203"/>
      <c r="F82" s="202">
        <f>IF($G82="","",VLOOKUP($G82,Data!$B$71:$K$146,3,FALSE))</f>
      </c>
      <c r="G82" s="203"/>
      <c r="H82" s="202">
        <f>IF($G82="","",VLOOKUP($G82,Data!$B$71:$K$146,6,FALSE))</f>
      </c>
      <c r="I82" s="204">
        <f>IF($G82="","",VLOOKUP($G82,Data!$B$71:$K$146,10,FALSE))</f>
      </c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11" ht="12.75">
      <c r="A84" s="513" t="s">
        <v>99</v>
      </c>
      <c r="B84" s="575"/>
      <c r="C84" s="576"/>
      <c r="D84" s="576"/>
      <c r="E84" s="576"/>
      <c r="F84" s="576"/>
      <c r="G84" s="576"/>
      <c r="H84" s="576"/>
      <c r="I84" s="576"/>
      <c r="J84" s="59"/>
      <c r="K84" s="59"/>
    </row>
    <row r="85" spans="1:11" ht="12.75">
      <c r="A85" s="577"/>
      <c r="B85" s="577"/>
      <c r="C85" s="577"/>
      <c r="D85" s="577"/>
      <c r="E85" s="577"/>
      <c r="F85" s="577"/>
      <c r="G85" s="577"/>
      <c r="H85" s="577"/>
      <c r="I85" s="577"/>
      <c r="J85" s="59"/>
      <c r="K85" s="59"/>
    </row>
    <row r="86" spans="1:11" ht="12.75">
      <c r="A86" s="576"/>
      <c r="B86" s="576"/>
      <c r="C86" s="576"/>
      <c r="D86" s="576"/>
      <c r="E86" s="576"/>
      <c r="F86" s="576"/>
      <c r="G86" s="576"/>
      <c r="H86" s="576"/>
      <c r="I86" s="576"/>
      <c r="J86" s="59"/>
      <c r="K86" s="59"/>
    </row>
    <row r="87" spans="1:11" ht="12.75">
      <c r="A87" s="503"/>
      <c r="B87" s="503"/>
      <c r="C87" s="503"/>
      <c r="D87" s="503"/>
      <c r="E87" s="503"/>
      <c r="F87" s="503"/>
      <c r="G87" s="503"/>
      <c r="H87" s="503"/>
      <c r="I87" s="503"/>
      <c r="J87" s="3"/>
      <c r="K87" s="3"/>
    </row>
    <row r="88" spans="1:11" ht="12.75">
      <c r="A88" s="493"/>
      <c r="B88" s="493"/>
      <c r="C88" s="493"/>
      <c r="D88" s="503"/>
      <c r="E88" s="503"/>
      <c r="F88" s="493"/>
      <c r="G88" s="568" t="s">
        <v>1016</v>
      </c>
      <c r="H88" s="569">
        <f>+IF(Input!E14="","",Input!E14)</f>
      </c>
      <c r="I88" s="571"/>
      <c r="J88" s="3"/>
      <c r="K88" s="61"/>
    </row>
    <row r="89" spans="1:9" ht="12.75">
      <c r="A89" s="503"/>
      <c r="B89" s="503"/>
      <c r="C89" s="493"/>
      <c r="D89" s="493"/>
      <c r="E89" s="493"/>
      <c r="F89" s="493"/>
      <c r="G89" s="493"/>
      <c r="H89" s="493"/>
      <c r="I89" s="493"/>
    </row>
  </sheetData>
  <sheetProtection sheet="1" objects="1" scenarios="1"/>
  <mergeCells count="6">
    <mergeCell ref="A9:I9"/>
    <mergeCell ref="A10:I10"/>
    <mergeCell ref="A12:I12"/>
    <mergeCell ref="A58:I58"/>
    <mergeCell ref="D13:D16"/>
    <mergeCell ref="A11:I11"/>
  </mergeCells>
  <dataValidations count="3">
    <dataValidation type="list" allowBlank="1" showInputMessage="1" showErrorMessage="1" sqref="D4">
      <formula1>Data!$A$267:$A$286</formula1>
    </dataValidation>
    <dataValidation type="list" allowBlank="1" showInputMessage="1" showErrorMessage="1" sqref="B61:B82 B45:B55">
      <formula1>Data!$B$316:$B$360</formula1>
    </dataValidation>
    <dataValidation type="list" allowBlank="1" showInputMessage="1" showErrorMessage="1" sqref="G61:G82 G45:G55">
      <formula1>Data!$B$71:$B$146</formula1>
    </dataValidation>
  </dataValidations>
  <printOptions/>
  <pageMargins left="0.5" right="0.5" top="0.5" bottom="0.5" header="0" footer="0"/>
  <pageSetup fitToHeight="1" fitToWidth="1" horizontalDpi="600" verticalDpi="600" orientation="portrait" scale="6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R3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57421875" style="0" bestFit="1" customWidth="1"/>
    <col min="2" max="2" width="10.8515625" style="0" bestFit="1" customWidth="1"/>
    <col min="3" max="3" width="11.421875" style="0" customWidth="1"/>
    <col min="4" max="6" width="10.7109375" style="0" customWidth="1"/>
    <col min="7" max="7" width="11.28125" style="0" customWidth="1"/>
    <col min="8" max="10" width="10.7109375" style="0" customWidth="1"/>
    <col min="11" max="11" width="11.57421875" style="0" customWidth="1"/>
    <col min="12" max="15" width="10.7109375" style="0" customWidth="1"/>
    <col min="16" max="16" width="12.28125" style="0" customWidth="1"/>
    <col min="17" max="20" width="10.7109375" style="0" customWidth="1"/>
    <col min="21" max="21" width="25.57421875" style="0" customWidth="1"/>
    <col min="22" max="22" width="12.00390625" style="0" bestFit="1" customWidth="1"/>
    <col min="23" max="40" width="10.7109375" style="0" customWidth="1"/>
  </cols>
  <sheetData>
    <row r="1" spans="1:252" s="18" customFormat="1" ht="12.75">
      <c r="A1" s="66" t="s">
        <v>901</v>
      </c>
      <c r="B1" s="1023" t="s">
        <v>861</v>
      </c>
      <c r="C1" s="1024"/>
      <c r="D1" s="1024"/>
      <c r="E1" s="66"/>
      <c r="F1" s="66"/>
      <c r="G1" s="255"/>
      <c r="H1" s="66"/>
      <c r="I1" s="693"/>
      <c r="J1" s="693"/>
      <c r="K1" s="66"/>
      <c r="L1" s="66"/>
      <c r="M1" s="66"/>
      <c r="N1" s="66"/>
      <c r="O1" s="66"/>
      <c r="P1" s="6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21"/>
      <c r="AP1" s="21"/>
      <c r="AQ1" s="21"/>
      <c r="AR1" s="21"/>
      <c r="AS1" s="21"/>
      <c r="IR1" s="18" t="s">
        <v>721</v>
      </c>
    </row>
    <row r="2" spans="1:252" s="18" customFormat="1" ht="12.75">
      <c r="A2" s="66"/>
      <c r="B2" s="66"/>
      <c r="C2" s="66"/>
      <c r="D2" s="66"/>
      <c r="E2" s="66"/>
      <c r="F2" s="66"/>
      <c r="G2" s="110"/>
      <c r="H2" s="66"/>
      <c r="I2" s="746"/>
      <c r="J2" s="255"/>
      <c r="K2" s="70"/>
      <c r="L2" s="66"/>
      <c r="M2" s="66"/>
      <c r="N2" s="66"/>
      <c r="O2" s="66"/>
      <c r="P2" s="6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21"/>
      <c r="AP2" s="21"/>
      <c r="AQ2" s="21"/>
      <c r="AR2" s="21"/>
      <c r="AS2" s="21"/>
      <c r="IR2" s="18" t="s">
        <v>722</v>
      </c>
    </row>
    <row r="3" spans="1:252" s="18" customFormat="1" ht="12.75">
      <c r="A3" s="66"/>
      <c r="B3" s="80" t="s">
        <v>611</v>
      </c>
      <c r="C3" s="66"/>
      <c r="D3" s="66"/>
      <c r="E3" s="66"/>
      <c r="F3" s="66"/>
      <c r="G3" s="66"/>
      <c r="H3" s="66"/>
      <c r="I3" s="746"/>
      <c r="J3" s="746"/>
      <c r="K3" s="70"/>
      <c r="L3" s="66"/>
      <c r="M3" s="66"/>
      <c r="N3" s="66"/>
      <c r="O3" s="66"/>
      <c r="P3" s="66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1"/>
      <c r="AP3" s="21"/>
      <c r="AQ3" s="21"/>
      <c r="AR3" s="21"/>
      <c r="AS3" s="21"/>
      <c r="IR3" s="18" t="s">
        <v>723</v>
      </c>
    </row>
    <row r="4" spans="1:252" s="18" customFormat="1" ht="12.75">
      <c r="A4" s="747" t="s">
        <v>612</v>
      </c>
      <c r="B4" s="94"/>
      <c r="C4" s="494"/>
      <c r="D4" s="747" t="s">
        <v>743</v>
      </c>
      <c r="E4" s="95"/>
      <c r="F4" s="66"/>
      <c r="G4" s="66"/>
      <c r="H4" s="66"/>
      <c r="I4" s="746"/>
      <c r="J4" s="255"/>
      <c r="K4" s="70"/>
      <c r="L4" s="66"/>
      <c r="M4" s="66"/>
      <c r="N4" s="66"/>
      <c r="O4" s="66"/>
      <c r="P4" s="66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21"/>
      <c r="AP4" s="21"/>
      <c r="AQ4" s="21"/>
      <c r="AR4" s="21"/>
      <c r="AS4" s="21"/>
      <c r="IR4" s="18" t="s">
        <v>615</v>
      </c>
    </row>
    <row r="5" spans="1:45" s="18" customFormat="1" ht="12.75">
      <c r="A5" s="747" t="s">
        <v>613</v>
      </c>
      <c r="B5" s="96"/>
      <c r="C5" s="494"/>
      <c r="D5" s="747" t="s">
        <v>1016</v>
      </c>
      <c r="E5" s="748">
        <f>IF(Input!$E$14="","",Input!$E$14)</f>
      </c>
      <c r="F5" s="749"/>
      <c r="G5" s="750"/>
      <c r="H5" s="66"/>
      <c r="I5" s="746"/>
      <c r="J5" s="746"/>
      <c r="K5" s="70"/>
      <c r="L5" s="66"/>
      <c r="M5" s="66"/>
      <c r="N5" s="66"/>
      <c r="O5" s="66"/>
      <c r="P5" s="66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21"/>
      <c r="AP5" s="21"/>
      <c r="AQ5" s="21"/>
      <c r="AR5" s="21"/>
      <c r="AS5" s="21"/>
    </row>
    <row r="6" spans="1:45" s="18" customFormat="1" ht="12.75">
      <c r="A6" s="747" t="s">
        <v>614</v>
      </c>
      <c r="B6" s="97"/>
      <c r="C6" s="494"/>
      <c r="D6" s="747" t="s">
        <v>744</v>
      </c>
      <c r="E6" s="98"/>
      <c r="F6" s="751" t="str">
        <f>IF(Input!$B$6="","",IF(Input!$B$6="E","Degree F",IF(Input!$B$6="M","Degree C")))</f>
        <v>Degree F</v>
      </c>
      <c r="G6" s="66"/>
      <c r="H6" s="70"/>
      <c r="I6" s="70"/>
      <c r="J6" s="255"/>
      <c r="K6" s="70"/>
      <c r="L6" s="66"/>
      <c r="M6" s="66"/>
      <c r="N6" s="66"/>
      <c r="O6" s="66"/>
      <c r="P6" s="66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21"/>
      <c r="AP6" s="21"/>
      <c r="AQ6" s="21"/>
      <c r="AR6" s="21"/>
      <c r="AS6" s="21"/>
    </row>
    <row r="7" spans="1:45" s="18" customFormat="1" ht="12.75">
      <c r="A7" s="747" t="s">
        <v>616</v>
      </c>
      <c r="B7" s="822"/>
      <c r="C7" s="752" t="str">
        <f>IF(Input!$B$6="","",IF(Input!$B$6="E","psi",IF(Input!$B$6="M","kPa")))</f>
        <v>psi</v>
      </c>
      <c r="D7" s="693"/>
      <c r="E7" s="693"/>
      <c r="F7" s="693"/>
      <c r="G7" s="753" t="s">
        <v>906</v>
      </c>
      <c r="H7" s="25"/>
      <c r="I7" s="693"/>
      <c r="J7" s="693"/>
      <c r="K7" s="693"/>
      <c r="L7" s="66"/>
      <c r="M7" s="66"/>
      <c r="N7" s="66"/>
      <c r="O7" s="66"/>
      <c r="P7" s="66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21"/>
      <c r="AP7" s="21"/>
      <c r="AQ7" s="21"/>
      <c r="AR7" s="21"/>
      <c r="AS7" s="21"/>
    </row>
    <row r="8" spans="1:45" s="18" customFormat="1" ht="12.75">
      <c r="A8" s="747" t="s">
        <v>617</v>
      </c>
      <c r="B8" s="822"/>
      <c r="C8" s="752" t="str">
        <f>IF(Input!$B$6="","",IF(Input!$B$6="E","psi",IF(Input!$B$6="M","kPa")))</f>
        <v>psi</v>
      </c>
      <c r="D8" s="66"/>
      <c r="E8" s="66"/>
      <c r="F8" s="66"/>
      <c r="G8" s="693"/>
      <c r="H8" s="693" t="s">
        <v>915</v>
      </c>
      <c r="I8" s="693" t="s">
        <v>916</v>
      </c>
      <c r="J8" s="693"/>
      <c r="K8" s="693"/>
      <c r="L8" s="66"/>
      <c r="M8" s="66"/>
      <c r="N8" s="66"/>
      <c r="O8" s="66"/>
      <c r="P8" s="66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21"/>
      <c r="AP8" s="21"/>
      <c r="AQ8" s="21"/>
      <c r="AR8" s="21"/>
      <c r="AS8" s="21"/>
    </row>
    <row r="9" spans="1:45" s="18" customFormat="1" ht="12.75">
      <c r="A9" s="747" t="s">
        <v>618</v>
      </c>
      <c r="B9" s="113"/>
      <c r="C9" s="751" t="str">
        <f>IF(Input!$B$6="","",IF(Input!$B$6="E","Degree F",IF(Input!$B$6="M","Degree C")))</f>
        <v>Degree F</v>
      </c>
      <c r="D9" s="66"/>
      <c r="E9" s="66"/>
      <c r="F9" s="66"/>
      <c r="G9" s="753" t="str">
        <f>IF($H$7="Heat/Steam","Heat On","Started")</f>
        <v>Started</v>
      </c>
      <c r="H9" s="142"/>
      <c r="I9" s="293"/>
      <c r="J9" s="746"/>
      <c r="K9" s="70"/>
      <c r="L9" s="66"/>
      <c r="M9" s="66"/>
      <c r="N9" s="66"/>
      <c r="O9" s="66"/>
      <c r="P9" s="66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21"/>
      <c r="AP9" s="21"/>
      <c r="AQ9" s="21"/>
      <c r="AR9" s="21"/>
      <c r="AS9" s="21"/>
    </row>
    <row r="10" spans="1:45" s="18" customFormat="1" ht="12.75">
      <c r="A10" s="693"/>
      <c r="B10" s="693"/>
      <c r="C10" s="693"/>
      <c r="D10" s="66"/>
      <c r="E10" s="66"/>
      <c r="F10" s="66"/>
      <c r="G10" s="753" t="str">
        <f>IF($H$7="Heat/Steam","Heat Off","Completed")</f>
        <v>Completed</v>
      </c>
      <c r="H10" s="142"/>
      <c r="I10" s="293"/>
      <c r="J10" s="255"/>
      <c r="K10" s="70"/>
      <c r="L10" s="66"/>
      <c r="M10" s="66"/>
      <c r="N10" s="66"/>
      <c r="O10" s="66"/>
      <c r="P10" s="66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21"/>
      <c r="AP10" s="21"/>
      <c r="AQ10" s="21"/>
      <c r="AR10" s="21"/>
      <c r="AS10" s="21"/>
    </row>
    <row r="11" spans="1:45" s="18" customFormat="1" ht="12.75">
      <c r="A11" s="66" t="s">
        <v>619</v>
      </c>
      <c r="B11" s="66"/>
      <c r="C11" s="66"/>
      <c r="D11" s="66"/>
      <c r="E11" s="66"/>
      <c r="F11" s="66"/>
      <c r="G11" s="753" t="s">
        <v>631</v>
      </c>
      <c r="H11" s="25"/>
      <c r="I11" s="751" t="str">
        <f>IF(Input!$B$6="","",IF(Input!$B$6="E","Degree F",IF(Input!$B$6="M","Degree C")))</f>
        <v>Degree F</v>
      </c>
      <c r="J11" s="586" t="s">
        <v>907</v>
      </c>
      <c r="K11" s="70"/>
      <c r="L11" s="66"/>
      <c r="M11" s="66"/>
      <c r="N11" s="66"/>
      <c r="O11" s="66"/>
      <c r="P11" s="66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21"/>
      <c r="AP11" s="21"/>
      <c r="AQ11" s="21"/>
      <c r="AR11" s="21"/>
      <c r="AS11" s="21"/>
    </row>
    <row r="12" spans="1:62" s="18" customFormat="1" ht="12.75">
      <c r="A12" s="66" t="s">
        <v>620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31"/>
      <c r="AP12" s="31"/>
      <c r="AQ12" s="36"/>
      <c r="AR12" s="31"/>
      <c r="AS12" s="31"/>
      <c r="AT12" s="31"/>
      <c r="AU12" s="31"/>
      <c r="AV12" s="31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</row>
    <row r="13" spans="1:16" s="18" customFormat="1" ht="7.5" customHeight="1">
      <c r="A13" s="754"/>
      <c r="B13" s="755"/>
      <c r="C13" s="755"/>
      <c r="D13" s="755"/>
      <c r="E13" s="755"/>
      <c r="F13" s="755"/>
      <c r="G13" s="755"/>
      <c r="H13" s="755"/>
      <c r="I13" s="755"/>
      <c r="J13" s="755"/>
      <c r="K13" s="755"/>
      <c r="L13" s="755"/>
      <c r="M13" s="755"/>
      <c r="N13" s="755"/>
      <c r="O13" s="755"/>
      <c r="P13" s="755"/>
    </row>
    <row r="14" spans="1:45" s="18" customFormat="1" ht="15" customHeight="1">
      <c r="A14" s="756" t="s">
        <v>621</v>
      </c>
      <c r="B14" s="757" t="s">
        <v>622</v>
      </c>
      <c r="C14" s="594">
        <f>IF(Input!$B$7="","",Input!$B$7)</f>
      </c>
      <c r="D14" s="594">
        <f>IF(Input!$B$9="","",Input!$B$9)</f>
      </c>
      <c r="E14" s="70"/>
      <c r="F14" s="66"/>
      <c r="G14" s="66" t="s">
        <v>623</v>
      </c>
      <c r="H14" s="66"/>
      <c r="I14" s="66"/>
      <c r="J14" s="66"/>
      <c r="K14" s="66"/>
      <c r="L14" s="66" t="s">
        <v>138</v>
      </c>
      <c r="M14" s="66" t="s">
        <v>138</v>
      </c>
      <c r="N14" s="66"/>
      <c r="O14" s="7" t="s">
        <v>1310</v>
      </c>
      <c r="P14" s="66"/>
      <c r="Q14" s="8"/>
      <c r="R14" s="8"/>
      <c r="S14" s="8"/>
      <c r="T14" s="8"/>
      <c r="U14" s="65"/>
      <c r="V14" s="65"/>
      <c r="W14" s="64"/>
      <c r="X14" s="64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31"/>
      <c r="AP14" s="21"/>
      <c r="AQ14" s="21"/>
      <c r="AR14" s="21"/>
      <c r="AS14" s="21"/>
    </row>
    <row r="15" spans="1:45" s="18" customFormat="1" ht="15" customHeight="1">
      <c r="A15" s="758" t="s">
        <v>625</v>
      </c>
      <c r="B15" s="759">
        <f>+IF(E6="","",E6)</f>
      </c>
      <c r="C15" s="702" t="str">
        <f>IF(Input!$B$6="","",IF(Input!$B$6="E","Degree F",IF(Input!$B$6="M","Degree C")))</f>
        <v>Degree F</v>
      </c>
      <c r="D15" s="66"/>
      <c r="E15" s="66"/>
      <c r="F15" s="66"/>
      <c r="G15" s="66" t="s">
        <v>626</v>
      </c>
      <c r="H15" s="66"/>
      <c r="I15" s="66"/>
      <c r="J15" s="66"/>
      <c r="K15" s="747" t="s">
        <v>627</v>
      </c>
      <c r="L15" s="99">
        <f>IF($E$4="","",$E$4)</f>
      </c>
      <c r="M15" s="494"/>
      <c r="N15" s="747" t="s">
        <v>728</v>
      </c>
      <c r="O15" s="760">
        <f>IF(Source!B28="","",Source!B28)</f>
      </c>
      <c r="P15" s="66"/>
      <c r="Q15" s="40"/>
      <c r="T15" s="8"/>
      <c r="U15" s="65"/>
      <c r="V15" s="77"/>
      <c r="W15" s="77"/>
      <c r="X15" s="65"/>
      <c r="Y15" s="65"/>
      <c r="Z15" s="65"/>
      <c r="AA15" s="65"/>
      <c r="AB15" s="65"/>
      <c r="AC15" s="65"/>
      <c r="AD15" s="65"/>
      <c r="AE15" s="65"/>
      <c r="AF15" s="65"/>
      <c r="AG15" s="68"/>
      <c r="AH15" s="65"/>
      <c r="AI15" s="110"/>
      <c r="AJ15" s="65"/>
      <c r="AK15" s="65"/>
      <c r="AL15" s="65"/>
      <c r="AM15" s="65"/>
      <c r="AN15" s="65"/>
      <c r="AO15" s="31"/>
      <c r="AP15" s="21"/>
      <c r="AQ15" s="21"/>
      <c r="AR15" s="21"/>
      <c r="AS15" s="21"/>
    </row>
    <row r="16" spans="1:44" s="18" customFormat="1" ht="15" customHeight="1">
      <c r="A16" s="761"/>
      <c r="B16" s="747" t="s">
        <v>724</v>
      </c>
      <c r="C16" s="762">
        <f>IF(Input!B31="","",Input!B31)</f>
      </c>
      <c r="D16" s="762"/>
      <c r="E16" s="762"/>
      <c r="F16" s="66"/>
      <c r="G16" s="494"/>
      <c r="H16" s="747" t="s">
        <v>727</v>
      </c>
      <c r="I16" s="763">
        <f>IF(Input!B8="","",Input!B8)</f>
      </c>
      <c r="J16" s="66"/>
      <c r="K16" s="66"/>
      <c r="L16" s="66"/>
      <c r="M16" s="66"/>
      <c r="N16" s="66"/>
      <c r="O16" s="66"/>
      <c r="P16" s="66"/>
      <c r="Q16" s="8"/>
      <c r="R16" s="8"/>
      <c r="S16" s="8"/>
      <c r="T16" s="8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31"/>
      <c r="AP16" s="21"/>
      <c r="AQ16" s="21"/>
      <c r="AR16" s="21"/>
    </row>
    <row r="17" spans="1:44" s="18" customFormat="1" ht="15" customHeight="1">
      <c r="A17" s="344"/>
      <c r="B17" s="747" t="s">
        <v>725</v>
      </c>
      <c r="C17" s="762">
        <f>IF(Input!B33="","",Input!B33)</f>
      </c>
      <c r="D17" s="762"/>
      <c r="E17" s="762"/>
      <c r="F17" s="66"/>
      <c r="G17" s="494"/>
      <c r="H17" s="747" t="s">
        <v>726</v>
      </c>
      <c r="I17" s="763">
        <f>IF(D14="","",D14)</f>
      </c>
      <c r="J17" s="66"/>
      <c r="K17" s="747" t="s">
        <v>628</v>
      </c>
      <c r="L17" s="748">
        <f>IF(E5="","",E5)</f>
      </c>
      <c r="M17" s="749"/>
      <c r="N17" s="749"/>
      <c r="O17" s="750"/>
      <c r="P17" s="66"/>
      <c r="Q17" s="8"/>
      <c r="R17" s="8"/>
      <c r="S17" s="8"/>
      <c r="T17" s="8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8"/>
      <c r="AF17" s="65"/>
      <c r="AG17" s="65"/>
      <c r="AH17" s="65"/>
      <c r="AI17" s="65"/>
      <c r="AJ17" s="65"/>
      <c r="AK17" s="65"/>
      <c r="AL17" s="65"/>
      <c r="AM17" s="65"/>
      <c r="AN17" s="65"/>
      <c r="AO17" s="31"/>
      <c r="AP17" s="21"/>
      <c r="AQ17" s="21"/>
      <c r="AR17" s="21"/>
    </row>
    <row r="18" spans="1:44" s="18" customFormat="1" ht="15" customHeight="1">
      <c r="A18" s="764"/>
      <c r="B18" s="693"/>
      <c r="C18" s="693"/>
      <c r="D18" s="693"/>
      <c r="E18" s="693"/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31"/>
      <c r="AP18" s="21"/>
      <c r="AQ18" s="21"/>
      <c r="AR18" s="21"/>
    </row>
    <row r="19" spans="1:44" s="18" customFormat="1" ht="15" customHeight="1">
      <c r="A19" s="758"/>
      <c r="B19" s="765" t="s">
        <v>629</v>
      </c>
      <c r="C19" s="766">
        <f>IF(Input!$C$64="","",Input!$C$64)</f>
      </c>
      <c r="D19" s="767" t="s">
        <v>630</v>
      </c>
      <c r="E19" s="768">
        <f>IF($E$4="","",$E$4)</f>
      </c>
      <c r="F19" s="769">
        <f>IF(Input!$C$65="","",Input!$C$65)</f>
      </c>
      <c r="G19" s="770"/>
      <c r="H19" s="771">
        <f>IF($E$4="","",$E$4)</f>
      </c>
      <c r="I19" s="772">
        <f>IF(Input!$C$66="","",Input!$C$66)</f>
      </c>
      <c r="J19" s="773"/>
      <c r="K19" s="774">
        <f>IF($E$4="","",$E$4)</f>
      </c>
      <c r="L19" s="775">
        <f>IF(Input!$C$67="","",Input!$C$67)</f>
      </c>
      <c r="M19" s="776"/>
      <c r="N19" s="777">
        <f>IF($E$4="","",$E$4)</f>
      </c>
      <c r="O19" s="818" t="s">
        <v>908</v>
      </c>
      <c r="P19" s="819">
        <f>IF($H$7="","",$H$7)</f>
      </c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31"/>
      <c r="AP19" s="21"/>
      <c r="AQ19" s="21"/>
      <c r="AR19" s="21"/>
    </row>
    <row r="20" spans="1:44" s="18" customFormat="1" ht="15" customHeight="1">
      <c r="A20" s="779"/>
      <c r="B20" s="780"/>
      <c r="C20" s="781" t="s">
        <v>893</v>
      </c>
      <c r="D20" s="781" t="s">
        <v>894</v>
      </c>
      <c r="E20" s="782" t="s">
        <v>895</v>
      </c>
      <c r="F20" s="783" t="s">
        <v>893</v>
      </c>
      <c r="G20" s="784" t="s">
        <v>894</v>
      </c>
      <c r="H20" s="785" t="s">
        <v>895</v>
      </c>
      <c r="I20" s="786" t="s">
        <v>893</v>
      </c>
      <c r="J20" s="787" t="s">
        <v>896</v>
      </c>
      <c r="K20" s="788" t="s">
        <v>895</v>
      </c>
      <c r="L20" s="789" t="s">
        <v>893</v>
      </c>
      <c r="M20" s="790" t="s">
        <v>896</v>
      </c>
      <c r="N20" s="791" t="s">
        <v>895</v>
      </c>
      <c r="O20" s="794" t="str">
        <f>+$G$9</f>
        <v>Started</v>
      </c>
      <c r="P20" s="284">
        <f>IF($H$9="","",$H$9)</f>
      </c>
      <c r="Q20" s="264"/>
      <c r="R20" s="64"/>
      <c r="U20" s="133"/>
      <c r="V20" s="65"/>
      <c r="W20" s="89"/>
      <c r="X20" s="108"/>
      <c r="Y20" s="264"/>
      <c r="Z20" s="64"/>
      <c r="AA20" s="89"/>
      <c r="AB20" s="64"/>
      <c r="AC20" s="264"/>
      <c r="AD20" s="64"/>
      <c r="AE20" s="89"/>
      <c r="AF20" s="64"/>
      <c r="AG20" s="264"/>
      <c r="AH20" s="64"/>
      <c r="AI20" s="89"/>
      <c r="AJ20" s="64"/>
      <c r="AK20" s="264"/>
      <c r="AL20" s="255"/>
      <c r="AM20" s="255"/>
      <c r="AN20" s="255"/>
      <c r="AO20" s="31"/>
      <c r="AP20" s="21"/>
      <c r="AQ20" s="21"/>
      <c r="AR20" s="21"/>
    </row>
    <row r="21" spans="1:44" s="18" customFormat="1" ht="15" customHeight="1">
      <c r="A21" s="792" t="s">
        <v>731</v>
      </c>
      <c r="B21" s="793"/>
      <c r="C21" s="224"/>
      <c r="D21" s="224"/>
      <c r="E21" s="234"/>
      <c r="F21" s="254"/>
      <c r="G21" s="224"/>
      <c r="H21" s="107"/>
      <c r="I21" s="254"/>
      <c r="J21" s="224"/>
      <c r="K21" s="107"/>
      <c r="L21" s="254"/>
      <c r="M21" s="224"/>
      <c r="N21" s="234"/>
      <c r="O21" s="820"/>
      <c r="P21" s="294">
        <f>IF($I$9="","",$I$9)</f>
      </c>
      <c r="Q21" s="89"/>
      <c r="R21" s="65"/>
      <c r="U21" s="133"/>
      <c r="V21" s="68"/>
      <c r="W21" s="89"/>
      <c r="X21" s="64"/>
      <c r="Y21" s="89"/>
      <c r="Z21" s="65"/>
      <c r="AA21" s="89"/>
      <c r="AB21" s="64"/>
      <c r="AC21" s="89"/>
      <c r="AD21" s="65"/>
      <c r="AE21" s="89"/>
      <c r="AF21" s="64"/>
      <c r="AG21" s="89"/>
      <c r="AH21" s="65"/>
      <c r="AI21" s="89"/>
      <c r="AJ21" s="64"/>
      <c r="AK21" s="89"/>
      <c r="AL21" s="70"/>
      <c r="AM21" s="70"/>
      <c r="AN21" s="70"/>
      <c r="AO21" s="31"/>
      <c r="AP21" s="21"/>
      <c r="AQ21" s="21"/>
      <c r="AR21" s="21"/>
    </row>
    <row r="22" spans="1:44" s="18" customFormat="1" ht="15" customHeight="1">
      <c r="A22" s="795" t="s">
        <v>730</v>
      </c>
      <c r="B22" s="796"/>
      <c r="C22" s="100"/>
      <c r="D22" s="143"/>
      <c r="E22" s="226"/>
      <c r="F22" s="235"/>
      <c r="G22" s="143"/>
      <c r="H22" s="100"/>
      <c r="I22" s="235"/>
      <c r="J22" s="143"/>
      <c r="K22" s="100"/>
      <c r="L22" s="235"/>
      <c r="M22" s="143"/>
      <c r="N22" s="226"/>
      <c r="O22" s="794" t="str">
        <f>+$G$10</f>
        <v>Completed</v>
      </c>
      <c r="P22" s="284">
        <f>IF($H$10="","",$H$10)</f>
      </c>
      <c r="Q22" s="89"/>
      <c r="R22" s="65"/>
      <c r="U22" s="133"/>
      <c r="V22" s="68"/>
      <c r="W22" s="89"/>
      <c r="X22" s="65"/>
      <c r="Y22" s="89"/>
      <c r="Z22" s="65"/>
      <c r="AA22" s="89"/>
      <c r="AB22" s="65"/>
      <c r="AC22" s="89"/>
      <c r="AD22" s="65"/>
      <c r="AE22" s="89"/>
      <c r="AF22" s="65"/>
      <c r="AG22" s="89"/>
      <c r="AH22" s="65"/>
      <c r="AI22" s="89"/>
      <c r="AJ22" s="65"/>
      <c r="AK22" s="89"/>
      <c r="AL22" s="70"/>
      <c r="AM22" s="70"/>
      <c r="AN22" s="70"/>
      <c r="AO22" s="31"/>
      <c r="AP22" s="21"/>
      <c r="AQ22" s="21"/>
      <c r="AR22" s="21"/>
    </row>
    <row r="23" spans="1:59" s="18" customFormat="1" ht="15" customHeight="1">
      <c r="A23" s="795" t="s">
        <v>729</v>
      </c>
      <c r="B23" s="796"/>
      <c r="C23" s="101"/>
      <c r="D23" s="143"/>
      <c r="E23" s="227"/>
      <c r="F23" s="236"/>
      <c r="G23" s="143"/>
      <c r="H23" s="101"/>
      <c r="I23" s="236"/>
      <c r="J23" s="143"/>
      <c r="K23" s="101"/>
      <c r="L23" s="236"/>
      <c r="M23" s="143"/>
      <c r="N23" s="227"/>
      <c r="O23" s="820"/>
      <c r="P23" s="294">
        <f>IF($I$10="","",$I$10)</f>
      </c>
      <c r="Q23" s="265"/>
      <c r="R23" s="65"/>
      <c r="U23" s="133"/>
      <c r="V23" s="68"/>
      <c r="W23" s="265"/>
      <c r="X23" s="65"/>
      <c r="Y23" s="265"/>
      <c r="Z23" s="65"/>
      <c r="AA23" s="265"/>
      <c r="AB23" s="65"/>
      <c r="AC23" s="265"/>
      <c r="AD23" s="65"/>
      <c r="AE23" s="265"/>
      <c r="AF23" s="65"/>
      <c r="AG23" s="265"/>
      <c r="AH23" s="65"/>
      <c r="AI23" s="265"/>
      <c r="AJ23" s="65"/>
      <c r="AK23" s="265"/>
      <c r="AL23" s="70"/>
      <c r="AM23" s="70"/>
      <c r="AN23" s="70"/>
      <c r="AO23" s="31"/>
      <c r="AP23" s="21"/>
      <c r="AQ23" s="1037"/>
      <c r="AR23" s="1037"/>
      <c r="AS23" s="1037"/>
      <c r="AT23" s="1037"/>
      <c r="AU23" s="1037"/>
      <c r="AV23" s="1037"/>
      <c r="AW23" s="1037"/>
      <c r="AX23" s="1037"/>
      <c r="AY23" s="1037"/>
      <c r="AZ23" s="1037"/>
      <c r="BA23" s="1037"/>
      <c r="BB23" s="1037"/>
      <c r="BC23" s="1037"/>
      <c r="BD23" s="1037"/>
      <c r="BE23" s="1037"/>
      <c r="BF23" s="1037"/>
      <c r="BG23" s="133"/>
    </row>
    <row r="24" spans="1:90" s="18" customFormat="1" ht="15" customHeight="1">
      <c r="A24" s="795" t="s">
        <v>732</v>
      </c>
      <c r="B24" s="751" t="str">
        <f>IF(Input!$B$6="","",IF(Input!$B$6="E","Degree F",IF(Input!$B$6="M","Degree C")))</f>
        <v>Degree F</v>
      </c>
      <c r="C24" s="100"/>
      <c r="D24" s="143"/>
      <c r="E24" s="228"/>
      <c r="F24" s="235"/>
      <c r="G24" s="143"/>
      <c r="H24" s="102"/>
      <c r="I24" s="235"/>
      <c r="J24" s="143"/>
      <c r="K24" s="102"/>
      <c r="L24" s="235"/>
      <c r="M24" s="143"/>
      <c r="N24" s="228"/>
      <c r="O24" s="799" t="s">
        <v>903</v>
      </c>
      <c r="P24" s="285"/>
      <c r="Q24" s="261"/>
      <c r="R24" s="65"/>
      <c r="S24" s="21" t="s">
        <v>887</v>
      </c>
      <c r="T24" s="18" t="s">
        <v>585</v>
      </c>
      <c r="U24" s="133"/>
      <c r="V24" s="68"/>
      <c r="W24" s="266"/>
      <c r="X24" s="77"/>
      <c r="Y24" s="266"/>
      <c r="Z24" s="65"/>
      <c r="AA24" s="266"/>
      <c r="AB24" s="65"/>
      <c r="AC24" s="266"/>
      <c r="AD24" s="65"/>
      <c r="AE24" s="266"/>
      <c r="AF24" s="65"/>
      <c r="AG24" s="266"/>
      <c r="AH24" s="65"/>
      <c r="AI24" s="266"/>
      <c r="AJ24" s="65"/>
      <c r="AK24" s="266"/>
      <c r="AL24" s="70"/>
      <c r="AM24" s="70"/>
      <c r="AN24" s="255"/>
      <c r="AO24" s="31"/>
      <c r="AP24" s="21"/>
      <c r="AQ24" s="38"/>
      <c r="AR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216"/>
      <c r="BH24" s="38"/>
      <c r="BI24" s="31"/>
      <c r="BJ24" s="38"/>
      <c r="BK24" s="31"/>
      <c r="BL24" s="38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8"/>
      <c r="CB24" s="38"/>
      <c r="CC24" s="38"/>
      <c r="CD24" s="38"/>
      <c r="CE24" s="38"/>
      <c r="CF24" s="31"/>
      <c r="CG24" s="31"/>
      <c r="CH24" s="31"/>
      <c r="CI24" s="31"/>
      <c r="CJ24" s="31"/>
      <c r="CK24" s="31"/>
      <c r="CL24" s="31"/>
    </row>
    <row r="25" spans="1:44" s="18" customFormat="1" ht="15" customHeight="1">
      <c r="A25" s="795" t="s">
        <v>733</v>
      </c>
      <c r="B25" s="751" t="str">
        <f>IF(Input!$B$6="","",IF(Input!$B$6="E","Degree F",IF(Input!$B$6="M","Degree C")))</f>
        <v>Degree F</v>
      </c>
      <c r="C25" s="214"/>
      <c r="D25" s="143"/>
      <c r="E25" s="229"/>
      <c r="F25" s="237"/>
      <c r="G25" s="143"/>
      <c r="H25" s="104"/>
      <c r="I25" s="237"/>
      <c r="J25" s="143"/>
      <c r="K25" s="104"/>
      <c r="L25" s="237"/>
      <c r="M25" s="143"/>
      <c r="N25" s="229"/>
      <c r="O25" s="281">
        <f>IF($B$9="","",$B$9)</f>
      </c>
      <c r="P25" s="800" t="str">
        <f>IF(Input!$B$6="","",IF(Input!$B$6="E","Degree F",IF(Input!$B$6="M","Degree C")))</f>
        <v>Degree F</v>
      </c>
      <c r="Q25" s="261"/>
      <c r="R25" s="65"/>
      <c r="S25" s="21" t="s">
        <v>888</v>
      </c>
      <c r="T25" s="18" t="s">
        <v>914</v>
      </c>
      <c r="U25" s="133"/>
      <c r="V25" s="68"/>
      <c r="W25" s="266"/>
      <c r="X25" s="65"/>
      <c r="Y25" s="266"/>
      <c r="Z25" s="65"/>
      <c r="AA25" s="266"/>
      <c r="AB25" s="65"/>
      <c r="AC25" s="266"/>
      <c r="AD25" s="65"/>
      <c r="AE25" s="266"/>
      <c r="AF25" s="65"/>
      <c r="AG25" s="266"/>
      <c r="AH25" s="65"/>
      <c r="AI25" s="266"/>
      <c r="AJ25" s="65"/>
      <c r="AK25" s="266"/>
      <c r="AL25" s="70"/>
      <c r="AM25" s="70"/>
      <c r="AN25" s="255"/>
      <c r="AO25" s="31"/>
      <c r="AP25" s="21"/>
      <c r="AQ25" s="21"/>
      <c r="AR25" s="21"/>
    </row>
    <row r="26" spans="1:44" s="18" customFormat="1" ht="15" customHeight="1">
      <c r="A26" s="801" t="s">
        <v>734</v>
      </c>
      <c r="B26" s="824" t="s">
        <v>887</v>
      </c>
      <c r="C26" s="217"/>
      <c r="D26" s="143"/>
      <c r="E26" s="230"/>
      <c r="F26" s="238"/>
      <c r="G26" s="143"/>
      <c r="H26" s="215"/>
      <c r="I26" s="238"/>
      <c r="J26" s="143"/>
      <c r="K26" s="215"/>
      <c r="L26" s="238"/>
      <c r="M26" s="143"/>
      <c r="N26" s="230"/>
      <c r="O26" s="797"/>
      <c r="P26" s="994" t="s">
        <v>1277</v>
      </c>
      <c r="Q26" s="266"/>
      <c r="R26" s="65"/>
      <c r="S26" s="18" t="s">
        <v>1014</v>
      </c>
      <c r="U26" s="133"/>
      <c r="V26" s="68"/>
      <c r="W26" s="266"/>
      <c r="X26" s="65"/>
      <c r="Y26" s="266"/>
      <c r="Z26" s="256"/>
      <c r="AA26" s="266"/>
      <c r="AB26" s="256"/>
      <c r="AC26" s="266"/>
      <c r="AD26" s="256"/>
      <c r="AE26" s="266"/>
      <c r="AF26" s="256"/>
      <c r="AG26" s="266"/>
      <c r="AH26" s="65"/>
      <c r="AI26" s="266"/>
      <c r="AJ26" s="65"/>
      <c r="AK26" s="266"/>
      <c r="AL26" s="70"/>
      <c r="AM26" s="256"/>
      <c r="AN26" s="257"/>
      <c r="AO26" s="31"/>
      <c r="AP26" s="21"/>
      <c r="AQ26" s="21"/>
      <c r="AR26" s="21"/>
    </row>
    <row r="27" spans="1:44" s="18" customFormat="1" ht="15" customHeight="1">
      <c r="A27" s="795" t="s">
        <v>735</v>
      </c>
      <c r="B27" s="824" t="s">
        <v>888</v>
      </c>
      <c r="C27" s="218"/>
      <c r="D27" s="143"/>
      <c r="E27" s="231"/>
      <c r="F27" s="239"/>
      <c r="G27" s="143"/>
      <c r="H27" s="103"/>
      <c r="I27" s="239"/>
      <c r="J27" s="143"/>
      <c r="K27" s="103"/>
      <c r="L27" s="239"/>
      <c r="M27" s="143"/>
      <c r="N27" s="231"/>
      <c r="O27" s="797"/>
      <c r="P27" s="995" t="s">
        <v>1278</v>
      </c>
      <c r="Q27" s="258"/>
      <c r="R27" s="65"/>
      <c r="S27" s="21" t="s">
        <v>880</v>
      </c>
      <c r="U27" s="133"/>
      <c r="V27" s="68"/>
      <c r="W27" s="258"/>
      <c r="X27" s="65"/>
      <c r="Y27" s="258"/>
      <c r="Z27" s="65"/>
      <c r="AA27" s="258"/>
      <c r="AB27" s="65"/>
      <c r="AC27" s="258"/>
      <c r="AD27" s="65"/>
      <c r="AE27" s="258"/>
      <c r="AF27" s="65"/>
      <c r="AG27" s="258"/>
      <c r="AH27" s="65"/>
      <c r="AI27" s="258"/>
      <c r="AJ27" s="65"/>
      <c r="AK27" s="258"/>
      <c r="AL27" s="70"/>
      <c r="AM27" s="70"/>
      <c r="AN27" s="70"/>
      <c r="AO27" s="31"/>
      <c r="AP27" s="21"/>
      <c r="AQ27" s="21"/>
      <c r="AR27" s="21"/>
    </row>
    <row r="28" spans="1:44" s="18" customFormat="1" ht="15" customHeight="1">
      <c r="A28" s="795" t="s">
        <v>892</v>
      </c>
      <c r="B28" s="824" t="s">
        <v>891</v>
      </c>
      <c r="C28" s="219"/>
      <c r="D28" s="143"/>
      <c r="E28" s="228"/>
      <c r="F28" s="240"/>
      <c r="G28" s="143"/>
      <c r="H28" s="102"/>
      <c r="I28" s="240"/>
      <c r="J28" s="143"/>
      <c r="K28" s="102"/>
      <c r="L28" s="240"/>
      <c r="M28" s="143"/>
      <c r="N28" s="228"/>
      <c r="O28" s="996" t="s">
        <v>1279</v>
      </c>
      <c r="P28" s="997"/>
      <c r="Q28" s="258"/>
      <c r="R28" s="65"/>
      <c r="S28" s="18" t="s">
        <v>889</v>
      </c>
      <c r="U28" s="133"/>
      <c r="V28" s="68"/>
      <c r="W28" s="258"/>
      <c r="X28" s="77"/>
      <c r="Y28" s="258"/>
      <c r="Z28" s="65"/>
      <c r="AA28" s="258"/>
      <c r="AB28" s="65"/>
      <c r="AC28" s="258"/>
      <c r="AD28" s="65"/>
      <c r="AE28" s="258"/>
      <c r="AF28" s="65"/>
      <c r="AG28" s="258"/>
      <c r="AH28" s="65"/>
      <c r="AI28" s="258"/>
      <c r="AJ28" s="65"/>
      <c r="AK28" s="258"/>
      <c r="AL28" s="70"/>
      <c r="AM28" s="70"/>
      <c r="AN28" s="259"/>
      <c r="AO28" s="31"/>
      <c r="AP28" s="21"/>
      <c r="AQ28" s="21"/>
      <c r="AR28" s="21"/>
    </row>
    <row r="29" spans="1:44" s="18" customFormat="1" ht="15" customHeight="1">
      <c r="A29" s="795" t="s">
        <v>897</v>
      </c>
      <c r="B29" s="824" t="s">
        <v>891</v>
      </c>
      <c r="C29" s="219"/>
      <c r="D29" s="143"/>
      <c r="E29" s="228"/>
      <c r="F29" s="240"/>
      <c r="G29" s="143"/>
      <c r="H29" s="102"/>
      <c r="I29" s="240"/>
      <c r="J29" s="143"/>
      <c r="K29" s="102"/>
      <c r="L29" s="240"/>
      <c r="M29" s="143"/>
      <c r="N29" s="228"/>
      <c r="O29" s="996" t="s">
        <v>1280</v>
      </c>
      <c r="P29" s="997"/>
      <c r="Q29" s="258"/>
      <c r="R29" s="65"/>
      <c r="S29" s="18" t="s">
        <v>886</v>
      </c>
      <c r="U29" s="133"/>
      <c r="V29" s="68"/>
      <c r="W29" s="258"/>
      <c r="X29" s="77"/>
      <c r="Y29" s="258"/>
      <c r="Z29" s="65"/>
      <c r="AA29" s="258"/>
      <c r="AB29" s="65"/>
      <c r="AC29" s="258"/>
      <c r="AD29" s="65"/>
      <c r="AE29" s="258"/>
      <c r="AF29" s="65"/>
      <c r="AG29" s="258"/>
      <c r="AH29" s="65"/>
      <c r="AI29" s="258"/>
      <c r="AJ29" s="65"/>
      <c r="AK29" s="258"/>
      <c r="AL29" s="70"/>
      <c r="AM29" s="70"/>
      <c r="AN29" s="259"/>
      <c r="AO29" s="31"/>
      <c r="AP29" s="21"/>
      <c r="AQ29" s="21"/>
      <c r="AR29" s="21"/>
    </row>
    <row r="30" spans="1:44" s="18" customFormat="1" ht="15" customHeight="1">
      <c r="A30" s="795" t="s">
        <v>898</v>
      </c>
      <c r="B30" s="824" t="s">
        <v>891</v>
      </c>
      <c r="C30" s="219"/>
      <c r="D30" s="143"/>
      <c r="E30" s="228"/>
      <c r="F30" s="240"/>
      <c r="G30" s="143"/>
      <c r="H30" s="102"/>
      <c r="I30" s="240"/>
      <c r="J30" s="143"/>
      <c r="K30" s="102"/>
      <c r="L30" s="240"/>
      <c r="M30" s="143"/>
      <c r="N30" s="228"/>
      <c r="O30" s="996" t="s">
        <v>1281</v>
      </c>
      <c r="P30" s="997"/>
      <c r="Q30" s="258"/>
      <c r="R30" s="65"/>
      <c r="S30" s="21" t="s">
        <v>890</v>
      </c>
      <c r="U30" s="133"/>
      <c r="V30" s="68"/>
      <c r="W30" s="258"/>
      <c r="X30" s="77"/>
      <c r="Y30" s="258"/>
      <c r="Z30" s="65"/>
      <c r="AA30" s="258"/>
      <c r="AB30" s="65"/>
      <c r="AC30" s="258"/>
      <c r="AD30" s="65"/>
      <c r="AE30" s="258"/>
      <c r="AF30" s="65"/>
      <c r="AG30" s="258"/>
      <c r="AH30" s="65"/>
      <c r="AI30" s="258"/>
      <c r="AJ30" s="65"/>
      <c r="AK30" s="258"/>
      <c r="AL30" s="70"/>
      <c r="AM30" s="70"/>
      <c r="AN30" s="259"/>
      <c r="AO30" s="31"/>
      <c r="AP30" s="21"/>
      <c r="AQ30" s="21"/>
      <c r="AR30" s="21"/>
    </row>
    <row r="31" spans="1:44" s="18" customFormat="1" ht="15" customHeight="1">
      <c r="A31" s="795" t="s">
        <v>899</v>
      </c>
      <c r="B31" s="824" t="s">
        <v>891</v>
      </c>
      <c r="C31" s="219"/>
      <c r="D31" s="143"/>
      <c r="E31" s="228"/>
      <c r="F31" s="240"/>
      <c r="G31" s="143"/>
      <c r="H31" s="102"/>
      <c r="I31" s="240"/>
      <c r="J31" s="143"/>
      <c r="K31" s="102"/>
      <c r="L31" s="240"/>
      <c r="M31" s="143"/>
      <c r="N31" s="228"/>
      <c r="O31" s="996" t="s">
        <v>1282</v>
      </c>
      <c r="P31" s="997"/>
      <c r="Q31" s="258"/>
      <c r="R31" s="65"/>
      <c r="S31" s="21" t="s">
        <v>881</v>
      </c>
      <c r="U31" s="133"/>
      <c r="V31" s="68"/>
      <c r="W31" s="258"/>
      <c r="X31" s="65"/>
      <c r="Y31" s="258"/>
      <c r="Z31" s="257"/>
      <c r="AA31" s="258"/>
      <c r="AB31" s="257"/>
      <c r="AC31" s="258"/>
      <c r="AD31" s="257"/>
      <c r="AE31" s="258"/>
      <c r="AF31" s="257"/>
      <c r="AG31" s="258"/>
      <c r="AH31" s="257"/>
      <c r="AI31" s="258"/>
      <c r="AJ31" s="257"/>
      <c r="AK31" s="258"/>
      <c r="AL31" s="70"/>
      <c r="AM31" s="70"/>
      <c r="AN31" s="259"/>
      <c r="AO31" s="31"/>
      <c r="AP31" s="21"/>
      <c r="AQ31" s="21"/>
      <c r="AR31" s="21"/>
    </row>
    <row r="32" spans="1:44" s="18" customFormat="1" ht="15" customHeight="1">
      <c r="A32" s="795" t="s">
        <v>736</v>
      </c>
      <c r="B32" s="824" t="s">
        <v>891</v>
      </c>
      <c r="C32" s="219"/>
      <c r="D32" s="143"/>
      <c r="E32" s="228"/>
      <c r="F32" s="240"/>
      <c r="G32" s="143"/>
      <c r="H32" s="102"/>
      <c r="I32" s="240"/>
      <c r="J32" s="143"/>
      <c r="K32" s="102"/>
      <c r="L32" s="240"/>
      <c r="M32" s="143"/>
      <c r="N32" s="228"/>
      <c r="O32" s="996" t="s">
        <v>1283</v>
      </c>
      <c r="P32" s="997"/>
      <c r="Q32" s="258"/>
      <c r="R32" s="65"/>
      <c r="S32" s="21" t="s">
        <v>891</v>
      </c>
      <c r="U32" s="133"/>
      <c r="V32" s="68"/>
      <c r="W32" s="258"/>
      <c r="X32" s="65"/>
      <c r="Y32" s="258"/>
      <c r="Z32" s="65"/>
      <c r="AA32" s="258"/>
      <c r="AB32" s="65"/>
      <c r="AC32" s="258"/>
      <c r="AD32" s="65"/>
      <c r="AE32" s="258"/>
      <c r="AF32" s="65"/>
      <c r="AG32" s="258"/>
      <c r="AH32" s="65"/>
      <c r="AI32" s="258"/>
      <c r="AJ32" s="65"/>
      <c r="AK32" s="258"/>
      <c r="AL32" s="70"/>
      <c r="AM32" s="70"/>
      <c r="AN32" s="259"/>
      <c r="AO32" s="31"/>
      <c r="AP32" s="21"/>
      <c r="AQ32" s="21"/>
      <c r="AR32" s="21"/>
    </row>
    <row r="33" spans="1:44" s="18" customFormat="1" ht="15" customHeight="1">
      <c r="A33" s="795" t="s">
        <v>738</v>
      </c>
      <c r="B33" s="824" t="s">
        <v>880</v>
      </c>
      <c r="C33" s="219"/>
      <c r="D33" s="143"/>
      <c r="E33" s="228"/>
      <c r="F33" s="240"/>
      <c r="G33" s="143"/>
      <c r="H33" s="102"/>
      <c r="I33" s="240"/>
      <c r="J33" s="143"/>
      <c r="K33" s="102"/>
      <c r="L33" s="240"/>
      <c r="M33" s="143"/>
      <c r="N33" s="228"/>
      <c r="O33" s="996" t="s">
        <v>1284</v>
      </c>
      <c r="P33" s="997"/>
      <c r="Q33" s="258"/>
      <c r="R33" s="65"/>
      <c r="S33" s="21" t="s">
        <v>882</v>
      </c>
      <c r="U33" s="133"/>
      <c r="V33" s="68"/>
      <c r="W33" s="258"/>
      <c r="X33" s="65"/>
      <c r="Y33" s="258"/>
      <c r="Z33" s="65"/>
      <c r="AA33" s="258"/>
      <c r="AB33" s="65"/>
      <c r="AC33" s="258"/>
      <c r="AD33" s="65"/>
      <c r="AE33" s="258"/>
      <c r="AF33" s="65"/>
      <c r="AG33" s="258"/>
      <c r="AH33" s="65"/>
      <c r="AI33" s="258"/>
      <c r="AJ33" s="65"/>
      <c r="AK33" s="258"/>
      <c r="AL33" s="70"/>
      <c r="AM33" s="70"/>
      <c r="AN33" s="259"/>
      <c r="AO33" s="31"/>
      <c r="AP33" s="21"/>
      <c r="AQ33" s="21"/>
      <c r="AR33" s="21"/>
    </row>
    <row r="34" spans="1:44" s="18" customFormat="1" ht="15" customHeight="1">
      <c r="A34" s="795" t="s">
        <v>739</v>
      </c>
      <c r="B34" s="824" t="s">
        <v>880</v>
      </c>
      <c r="C34" s="219"/>
      <c r="D34" s="143"/>
      <c r="E34" s="228"/>
      <c r="F34" s="240"/>
      <c r="G34" s="143"/>
      <c r="H34" s="102"/>
      <c r="I34" s="240"/>
      <c r="J34" s="143"/>
      <c r="K34" s="102"/>
      <c r="L34" s="240"/>
      <c r="M34" s="143"/>
      <c r="N34" s="228"/>
      <c r="O34" s="996" t="s">
        <v>1285</v>
      </c>
      <c r="P34" s="997"/>
      <c r="Q34" s="258"/>
      <c r="R34" s="65"/>
      <c r="S34" s="21" t="s">
        <v>883</v>
      </c>
      <c r="U34" s="133"/>
      <c r="V34" s="68"/>
      <c r="W34" s="258"/>
      <c r="X34" s="65"/>
      <c r="Y34" s="258"/>
      <c r="Z34" s="65"/>
      <c r="AA34" s="258"/>
      <c r="AB34" s="65"/>
      <c r="AC34" s="258"/>
      <c r="AD34" s="65"/>
      <c r="AE34" s="258"/>
      <c r="AF34" s="65"/>
      <c r="AG34" s="258"/>
      <c r="AH34" s="65"/>
      <c r="AI34" s="258"/>
      <c r="AJ34" s="65"/>
      <c r="AK34" s="258"/>
      <c r="AL34" s="70"/>
      <c r="AM34" s="70"/>
      <c r="AN34" s="259"/>
      <c r="AO34" s="31"/>
      <c r="AP34" s="21"/>
      <c r="AQ34" s="21"/>
      <c r="AR34" s="21"/>
    </row>
    <row r="35" spans="1:44" s="18" customFormat="1" ht="15" customHeight="1">
      <c r="A35" s="795" t="s">
        <v>741</v>
      </c>
      <c r="B35" s="824" t="s">
        <v>880</v>
      </c>
      <c r="C35" s="219"/>
      <c r="D35" s="143"/>
      <c r="E35" s="228"/>
      <c r="F35" s="240"/>
      <c r="G35" s="143"/>
      <c r="H35" s="102"/>
      <c r="I35" s="240"/>
      <c r="J35" s="143"/>
      <c r="K35" s="102"/>
      <c r="L35" s="240"/>
      <c r="M35" s="143"/>
      <c r="N35" s="228"/>
      <c r="O35" s="996" t="s">
        <v>1286</v>
      </c>
      <c r="P35" s="997"/>
      <c r="Q35" s="267"/>
      <c r="R35" s="65"/>
      <c r="S35" s="21" t="s">
        <v>884</v>
      </c>
      <c r="U35" s="133"/>
      <c r="V35" s="68"/>
      <c r="W35" s="258"/>
      <c r="X35" s="65"/>
      <c r="Y35" s="258"/>
      <c r="Z35" s="65"/>
      <c r="AA35" s="258"/>
      <c r="AB35" s="65"/>
      <c r="AC35" s="258"/>
      <c r="AD35" s="65"/>
      <c r="AE35" s="258"/>
      <c r="AF35" s="65"/>
      <c r="AG35" s="258"/>
      <c r="AH35" s="65"/>
      <c r="AI35" s="258"/>
      <c r="AJ35" s="65"/>
      <c r="AK35" s="258"/>
      <c r="AL35" s="70"/>
      <c r="AM35" s="70"/>
      <c r="AN35" s="259"/>
      <c r="AO35" s="31"/>
      <c r="AP35" s="21"/>
      <c r="AQ35" s="21"/>
      <c r="AR35" s="21"/>
    </row>
    <row r="36" spans="1:44" s="18" customFormat="1" ht="15" customHeight="1">
      <c r="A36" s="795" t="s">
        <v>742</v>
      </c>
      <c r="B36" s="824" t="s">
        <v>880</v>
      </c>
      <c r="C36" s="219"/>
      <c r="D36" s="143"/>
      <c r="E36" s="228"/>
      <c r="F36" s="240"/>
      <c r="G36" s="143"/>
      <c r="H36" s="102"/>
      <c r="I36" s="240"/>
      <c r="J36" s="143"/>
      <c r="K36" s="102"/>
      <c r="L36" s="240"/>
      <c r="M36" s="143"/>
      <c r="N36" s="228"/>
      <c r="O36" s="996" t="s">
        <v>1287</v>
      </c>
      <c r="P36" s="997"/>
      <c r="Q36" s="267"/>
      <c r="R36" s="65"/>
      <c r="S36" s="21" t="s">
        <v>885</v>
      </c>
      <c r="U36" s="133"/>
      <c r="V36" s="68"/>
      <c r="W36" s="258"/>
      <c r="X36" s="65"/>
      <c r="Y36" s="258"/>
      <c r="Z36" s="65"/>
      <c r="AA36" s="258"/>
      <c r="AB36" s="65"/>
      <c r="AC36" s="258"/>
      <c r="AD36" s="65"/>
      <c r="AE36" s="258"/>
      <c r="AF36" s="65"/>
      <c r="AG36" s="258"/>
      <c r="AH36" s="65"/>
      <c r="AI36" s="258"/>
      <c r="AJ36" s="65"/>
      <c r="AK36" s="258"/>
      <c r="AL36" s="70"/>
      <c r="AM36" s="70"/>
      <c r="AN36" s="259"/>
      <c r="AO36" s="31"/>
      <c r="AP36" s="21"/>
      <c r="AQ36" s="21"/>
      <c r="AR36" s="21"/>
    </row>
    <row r="37" spans="1:44" s="18" customFormat="1" ht="15" customHeight="1">
      <c r="A37" s="795" t="s">
        <v>740</v>
      </c>
      <c r="B37" s="824" t="s">
        <v>880</v>
      </c>
      <c r="C37" s="219"/>
      <c r="D37" s="143"/>
      <c r="E37" s="228"/>
      <c r="F37" s="240"/>
      <c r="G37" s="143"/>
      <c r="H37" s="102"/>
      <c r="I37" s="240"/>
      <c r="J37" s="143"/>
      <c r="K37" s="102"/>
      <c r="L37" s="240"/>
      <c r="M37" s="143"/>
      <c r="N37" s="228"/>
      <c r="O37" s="996" t="s">
        <v>1288</v>
      </c>
      <c r="P37" s="997"/>
      <c r="Q37" s="266"/>
      <c r="R37" s="65"/>
      <c r="S37" s="21" t="s">
        <v>111</v>
      </c>
      <c r="U37" s="133"/>
      <c r="V37" s="68"/>
      <c r="W37" s="258"/>
      <c r="X37" s="65"/>
      <c r="Y37" s="258"/>
      <c r="Z37" s="65"/>
      <c r="AA37" s="258"/>
      <c r="AB37" s="65"/>
      <c r="AC37" s="258"/>
      <c r="AD37" s="65"/>
      <c r="AE37" s="258"/>
      <c r="AF37" s="65"/>
      <c r="AG37" s="258"/>
      <c r="AH37" s="65"/>
      <c r="AI37" s="258"/>
      <c r="AJ37" s="65"/>
      <c r="AK37" s="258"/>
      <c r="AL37" s="70"/>
      <c r="AM37" s="70"/>
      <c r="AN37" s="259"/>
      <c r="AO37" s="31"/>
      <c r="AP37" s="21"/>
      <c r="AQ37" s="21"/>
      <c r="AR37" s="21"/>
    </row>
    <row r="38" spans="1:45" s="18" customFormat="1" ht="15" customHeight="1">
      <c r="A38" s="795" t="s">
        <v>1231</v>
      </c>
      <c r="B38" s="824" t="s">
        <v>891</v>
      </c>
      <c r="C38" s="219"/>
      <c r="D38" s="143"/>
      <c r="E38" s="228"/>
      <c r="F38" s="240"/>
      <c r="G38" s="143"/>
      <c r="H38" s="102"/>
      <c r="I38" s="240"/>
      <c r="J38" s="143"/>
      <c r="K38" s="102"/>
      <c r="L38" s="240"/>
      <c r="M38" s="143"/>
      <c r="N38" s="228"/>
      <c r="O38" s="996" t="s">
        <v>1289</v>
      </c>
      <c r="P38" s="19"/>
      <c r="Q38" s="264"/>
      <c r="R38" s="65"/>
      <c r="S38" s="18" t="s">
        <v>839</v>
      </c>
      <c r="U38" s="133"/>
      <c r="V38" s="68"/>
      <c r="W38" s="266"/>
      <c r="X38" s="77"/>
      <c r="Y38" s="266"/>
      <c r="Z38" s="77"/>
      <c r="AA38" s="266"/>
      <c r="AB38" s="77"/>
      <c r="AC38" s="266"/>
      <c r="AD38" s="77"/>
      <c r="AE38" s="266"/>
      <c r="AF38" s="77"/>
      <c r="AG38" s="266"/>
      <c r="AH38" s="77"/>
      <c r="AI38" s="266"/>
      <c r="AJ38" s="77"/>
      <c r="AK38" s="266"/>
      <c r="AL38" s="70"/>
      <c r="AM38" s="70"/>
      <c r="AN38" s="260"/>
      <c r="AO38" s="31"/>
      <c r="AP38" s="21"/>
      <c r="AQ38" s="21"/>
      <c r="AR38" s="21"/>
      <c r="AS38" s="21"/>
    </row>
    <row r="39" spans="1:45" s="18" customFormat="1" ht="15" customHeight="1">
      <c r="A39" s="795" t="s">
        <v>737</v>
      </c>
      <c r="B39" s="824" t="s">
        <v>890</v>
      </c>
      <c r="C39" s="219"/>
      <c r="D39" s="143"/>
      <c r="E39" s="228"/>
      <c r="F39" s="240"/>
      <c r="G39" s="143"/>
      <c r="H39" s="102"/>
      <c r="I39" s="240"/>
      <c r="J39" s="143"/>
      <c r="K39" s="102"/>
      <c r="L39" s="240"/>
      <c r="M39" s="143"/>
      <c r="N39" s="228"/>
      <c r="O39" s="996" t="s">
        <v>1290</v>
      </c>
      <c r="P39" s="19"/>
      <c r="Q39" s="258"/>
      <c r="R39" s="77"/>
      <c r="S39" s="18" t="s">
        <v>840</v>
      </c>
      <c r="U39" s="133"/>
      <c r="V39" s="68"/>
      <c r="W39" s="266"/>
      <c r="X39" s="77"/>
      <c r="Y39" s="266"/>
      <c r="Z39" s="77"/>
      <c r="AA39" s="266"/>
      <c r="AB39" s="77"/>
      <c r="AC39" s="266"/>
      <c r="AD39" s="77"/>
      <c r="AE39" s="266"/>
      <c r="AF39" s="77"/>
      <c r="AG39" s="266"/>
      <c r="AH39" s="77"/>
      <c r="AI39" s="266"/>
      <c r="AJ39" s="77"/>
      <c r="AK39" s="266"/>
      <c r="AL39" s="70"/>
      <c r="AM39" s="70"/>
      <c r="AN39" s="260"/>
      <c r="AO39" s="31"/>
      <c r="AP39" s="21"/>
      <c r="AQ39" s="21"/>
      <c r="AR39" s="21"/>
      <c r="AS39" s="21"/>
    </row>
    <row r="40" spans="1:45" s="18" customFormat="1" ht="15" customHeight="1">
      <c r="A40" s="823"/>
      <c r="B40" s="825"/>
      <c r="C40" s="219"/>
      <c r="D40" s="143"/>
      <c r="E40" s="228"/>
      <c r="F40" s="240"/>
      <c r="G40" s="143"/>
      <c r="H40" s="102"/>
      <c r="I40" s="240"/>
      <c r="J40" s="143"/>
      <c r="K40" s="102"/>
      <c r="L40" s="240"/>
      <c r="M40" s="143"/>
      <c r="N40" s="228"/>
      <c r="O40" s="794" t="s">
        <v>902</v>
      </c>
      <c r="P40" s="804"/>
      <c r="R40" s="77"/>
      <c r="S40" s="18" t="s">
        <v>841</v>
      </c>
      <c r="U40" s="133"/>
      <c r="V40" s="68"/>
      <c r="W40" s="267"/>
      <c r="X40" s="77"/>
      <c r="Y40" s="267"/>
      <c r="Z40" s="77"/>
      <c r="AA40" s="267"/>
      <c r="AB40" s="77"/>
      <c r="AC40" s="267"/>
      <c r="AD40" s="77"/>
      <c r="AE40" s="267"/>
      <c r="AF40" s="77"/>
      <c r="AG40" s="267"/>
      <c r="AH40" s="77"/>
      <c r="AI40" s="267"/>
      <c r="AJ40" s="77"/>
      <c r="AK40" s="267"/>
      <c r="AL40" s="70"/>
      <c r="AM40" s="70"/>
      <c r="AN40" s="260"/>
      <c r="AO40" s="31"/>
      <c r="AP40" s="21"/>
      <c r="AQ40" s="21"/>
      <c r="AR40" s="21"/>
      <c r="AS40" s="21"/>
    </row>
    <row r="41" spans="1:45" s="18" customFormat="1" ht="15" customHeight="1">
      <c r="A41" s="823"/>
      <c r="B41" s="825"/>
      <c r="C41" s="219"/>
      <c r="D41" s="143"/>
      <c r="E41" s="228"/>
      <c r="F41" s="240"/>
      <c r="G41" s="143"/>
      <c r="H41" s="102"/>
      <c r="I41" s="240"/>
      <c r="J41" s="143"/>
      <c r="K41" s="102"/>
      <c r="L41" s="240"/>
      <c r="M41" s="143"/>
      <c r="N41" s="228"/>
      <c r="O41" s="805">
        <f>IF($B$4="","",$B$4)</f>
      </c>
      <c r="P41" s="832" t="s">
        <v>882</v>
      </c>
      <c r="S41" s="18" t="s">
        <v>842</v>
      </c>
      <c r="U41" s="133"/>
      <c r="V41" s="68"/>
      <c r="W41" s="267"/>
      <c r="X41" s="65"/>
      <c r="Y41" s="267"/>
      <c r="Z41" s="65"/>
      <c r="AA41" s="267"/>
      <c r="AB41" s="65"/>
      <c r="AC41" s="267"/>
      <c r="AD41" s="65"/>
      <c r="AE41" s="267"/>
      <c r="AF41" s="65"/>
      <c r="AG41" s="267"/>
      <c r="AH41" s="65"/>
      <c r="AI41" s="267"/>
      <c r="AJ41" s="65"/>
      <c r="AK41" s="267"/>
      <c r="AL41" s="70"/>
      <c r="AM41" s="70"/>
      <c r="AN41" s="248"/>
      <c r="AO41" s="31"/>
      <c r="AP41" s="21"/>
      <c r="AQ41" s="21"/>
      <c r="AR41" s="21"/>
      <c r="AS41" s="21"/>
    </row>
    <row r="42" spans="1:45" s="18" customFormat="1" ht="15" customHeight="1">
      <c r="A42" s="823"/>
      <c r="B42" s="825"/>
      <c r="C42" s="219"/>
      <c r="D42" s="143"/>
      <c r="E42" s="228"/>
      <c r="F42" s="240"/>
      <c r="G42" s="143"/>
      <c r="H42" s="102"/>
      <c r="I42" s="240"/>
      <c r="J42" s="143"/>
      <c r="K42" s="102"/>
      <c r="L42" s="240"/>
      <c r="M42" s="143"/>
      <c r="N42" s="228"/>
      <c r="O42" s="802"/>
      <c r="P42" s="803"/>
      <c r="S42" s="18" t="s">
        <v>843</v>
      </c>
      <c r="U42" s="133"/>
      <c r="V42" s="68"/>
      <c r="W42" s="264"/>
      <c r="X42" s="65"/>
      <c r="Y42" s="264"/>
      <c r="Z42" s="65"/>
      <c r="AA42" s="264"/>
      <c r="AB42" s="65"/>
      <c r="AC42" s="264"/>
      <c r="AD42" s="65"/>
      <c r="AE42" s="264"/>
      <c r="AF42" s="65"/>
      <c r="AG42" s="264"/>
      <c r="AH42" s="65"/>
      <c r="AI42" s="264"/>
      <c r="AJ42" s="65"/>
      <c r="AK42" s="264"/>
      <c r="AL42" s="70"/>
      <c r="AM42" s="70"/>
      <c r="AN42" s="248"/>
      <c r="AO42" s="31"/>
      <c r="AP42" s="21"/>
      <c r="AQ42" s="21"/>
      <c r="AR42" s="21"/>
      <c r="AS42" s="21"/>
    </row>
    <row r="43" spans="1:45" s="18" customFormat="1" ht="15" customHeight="1">
      <c r="A43" s="823"/>
      <c r="B43" s="825"/>
      <c r="C43" s="219"/>
      <c r="D43" s="143"/>
      <c r="E43" s="228"/>
      <c r="F43" s="240"/>
      <c r="G43" s="143"/>
      <c r="H43" s="102"/>
      <c r="I43" s="240"/>
      <c r="J43" s="143"/>
      <c r="K43" s="102"/>
      <c r="L43" s="240"/>
      <c r="M43" s="143"/>
      <c r="N43" s="228"/>
      <c r="O43" s="794" t="s">
        <v>904</v>
      </c>
      <c r="P43" s="806"/>
      <c r="S43" s="18" t="s">
        <v>844</v>
      </c>
      <c r="U43" s="133"/>
      <c r="V43" s="68"/>
      <c r="W43" s="89"/>
      <c r="X43" s="261"/>
      <c r="Y43" s="89"/>
      <c r="Z43" s="261"/>
      <c r="AA43" s="89"/>
      <c r="AB43" s="261"/>
      <c r="AC43" s="89"/>
      <c r="AD43" s="261"/>
      <c r="AE43" s="89"/>
      <c r="AF43" s="261"/>
      <c r="AG43" s="89"/>
      <c r="AH43" s="261"/>
      <c r="AI43" s="89"/>
      <c r="AJ43" s="261"/>
      <c r="AK43" s="89"/>
      <c r="AL43" s="262"/>
      <c r="AM43" s="70"/>
      <c r="AN43" s="255"/>
      <c r="AO43" s="31"/>
      <c r="AP43" s="21"/>
      <c r="AQ43" s="21"/>
      <c r="AR43" s="21"/>
      <c r="AS43" s="21"/>
    </row>
    <row r="44" spans="1:45" s="18" customFormat="1" ht="15" customHeight="1">
      <c r="A44" s="823"/>
      <c r="B44" s="825"/>
      <c r="C44" s="219"/>
      <c r="D44" s="143"/>
      <c r="E44" s="228"/>
      <c r="F44" s="240"/>
      <c r="G44" s="143"/>
      <c r="H44" s="102"/>
      <c r="I44" s="240"/>
      <c r="J44" s="143"/>
      <c r="K44" s="102"/>
      <c r="L44" s="240"/>
      <c r="M44" s="143"/>
      <c r="N44" s="228"/>
      <c r="O44" s="805">
        <f>IF($B$5="","",$B$5)</f>
      </c>
      <c r="P44" s="832" t="s">
        <v>111</v>
      </c>
      <c r="S44" s="18" t="s">
        <v>845</v>
      </c>
      <c r="U44" s="133"/>
      <c r="V44" s="68"/>
      <c r="W44" s="131"/>
      <c r="X44" s="70"/>
      <c r="Y44" s="131"/>
      <c r="Z44" s="70"/>
      <c r="AA44" s="131"/>
      <c r="AB44" s="70"/>
      <c r="AC44" s="131"/>
      <c r="AD44" s="70"/>
      <c r="AE44" s="131"/>
      <c r="AF44" s="70"/>
      <c r="AG44" s="131"/>
      <c r="AH44" s="70"/>
      <c r="AI44" s="131"/>
      <c r="AJ44" s="70"/>
      <c r="AK44" s="131"/>
      <c r="AL44" s="70"/>
      <c r="AM44" s="70"/>
      <c r="AN44" s="255"/>
      <c r="AO44" s="31"/>
      <c r="AP44" s="21"/>
      <c r="AQ44" s="21"/>
      <c r="AR44" s="21"/>
      <c r="AS44" s="21"/>
    </row>
    <row r="45" spans="1:45" s="18" customFormat="1" ht="15" customHeight="1">
      <c r="A45" s="823"/>
      <c r="B45" s="825"/>
      <c r="C45" s="219"/>
      <c r="D45" s="143"/>
      <c r="E45" s="228"/>
      <c r="F45" s="240"/>
      <c r="G45" s="143"/>
      <c r="H45" s="102"/>
      <c r="I45" s="240"/>
      <c r="J45" s="143"/>
      <c r="K45" s="102"/>
      <c r="L45" s="240"/>
      <c r="M45" s="143"/>
      <c r="N45" s="228"/>
      <c r="O45" s="794" t="s">
        <v>905</v>
      </c>
      <c r="P45" s="806"/>
      <c r="S45" s="18" t="s">
        <v>846</v>
      </c>
      <c r="U45" s="133"/>
      <c r="V45" s="68"/>
      <c r="W45" s="263"/>
      <c r="X45" s="70"/>
      <c r="Y45" s="263"/>
      <c r="Z45" s="70"/>
      <c r="AA45" s="263"/>
      <c r="AB45" s="70"/>
      <c r="AC45" s="263"/>
      <c r="AD45" s="70"/>
      <c r="AE45" s="263"/>
      <c r="AF45" s="70"/>
      <c r="AG45" s="263"/>
      <c r="AH45" s="70"/>
      <c r="AI45" s="263"/>
      <c r="AJ45" s="70"/>
      <c r="AK45" s="263"/>
      <c r="AL45" s="70"/>
      <c r="AM45" s="70"/>
      <c r="AN45" s="255"/>
      <c r="AO45" s="31"/>
      <c r="AP45" s="21"/>
      <c r="AQ45" s="21"/>
      <c r="AR45" s="21"/>
      <c r="AS45" s="21"/>
    </row>
    <row r="46" spans="1:45" s="18" customFormat="1" ht="15" customHeight="1" thickBot="1">
      <c r="A46" s="823"/>
      <c r="B46" s="825"/>
      <c r="C46" s="220"/>
      <c r="D46" s="225"/>
      <c r="E46" s="229"/>
      <c r="F46" s="241"/>
      <c r="G46" s="225"/>
      <c r="H46" s="104"/>
      <c r="I46" s="241"/>
      <c r="J46" s="225"/>
      <c r="K46" s="104"/>
      <c r="L46" s="241"/>
      <c r="M46" s="225"/>
      <c r="N46" s="229"/>
      <c r="O46" s="809">
        <f>IF($B$6="","",$B$6)</f>
      </c>
      <c r="P46" s="832" t="s">
        <v>111</v>
      </c>
      <c r="S46" s="18" t="s">
        <v>847</v>
      </c>
      <c r="U46" s="133"/>
      <c r="V46" s="68"/>
      <c r="W46" s="267"/>
      <c r="X46" s="65"/>
      <c r="Y46" s="267"/>
      <c r="Z46" s="65"/>
      <c r="AA46" s="267"/>
      <c r="AB46" s="65"/>
      <c r="AC46" s="267"/>
      <c r="AD46" s="65"/>
      <c r="AE46" s="267"/>
      <c r="AF46" s="65"/>
      <c r="AG46" s="267"/>
      <c r="AH46" s="65"/>
      <c r="AI46" s="267"/>
      <c r="AJ46" s="65"/>
      <c r="AK46" s="267"/>
      <c r="AL46" s="70"/>
      <c r="AM46" s="70"/>
      <c r="AN46" s="255"/>
      <c r="AO46" s="31"/>
      <c r="AP46" s="21"/>
      <c r="AQ46" s="21"/>
      <c r="AR46" s="21"/>
      <c r="AS46" s="21"/>
    </row>
    <row r="47" spans="1:45" s="18" customFormat="1" ht="15" customHeight="1">
      <c r="A47" s="807" t="s">
        <v>851</v>
      </c>
      <c r="B47" s="826" t="s">
        <v>882</v>
      </c>
      <c r="C47" s="271"/>
      <c r="D47" s="272"/>
      <c r="E47" s="273"/>
      <c r="F47" s="274"/>
      <c r="G47" s="272"/>
      <c r="H47" s="275"/>
      <c r="I47" s="274"/>
      <c r="J47" s="272"/>
      <c r="K47" s="275"/>
      <c r="L47" s="274"/>
      <c r="M47" s="272"/>
      <c r="N47" s="273"/>
      <c r="O47" s="818"/>
      <c r="P47" s="998"/>
      <c r="Q47" s="89"/>
      <c r="R47" s="261"/>
      <c r="S47" s="18" t="s">
        <v>849</v>
      </c>
      <c r="U47" s="133"/>
      <c r="V47" s="68"/>
      <c r="W47" s="264"/>
      <c r="X47" s="65"/>
      <c r="Y47" s="264"/>
      <c r="Z47" s="65"/>
      <c r="AA47" s="264"/>
      <c r="AB47" s="65"/>
      <c r="AC47" s="264"/>
      <c r="AD47" s="65"/>
      <c r="AE47" s="264"/>
      <c r="AF47" s="65"/>
      <c r="AG47" s="264"/>
      <c r="AH47" s="65"/>
      <c r="AI47" s="264"/>
      <c r="AJ47" s="65"/>
      <c r="AK47" s="264"/>
      <c r="AL47" s="70"/>
      <c r="AM47" s="70"/>
      <c r="AN47" s="255"/>
      <c r="AO47" s="31"/>
      <c r="AP47" s="21"/>
      <c r="AQ47" s="21"/>
      <c r="AR47" s="21"/>
      <c r="AS47" s="21"/>
    </row>
    <row r="48" spans="1:45" s="18" customFormat="1" ht="15" customHeight="1" thickBot="1">
      <c r="A48" s="808" t="s">
        <v>850</v>
      </c>
      <c r="B48" s="827" t="s">
        <v>111</v>
      </c>
      <c r="C48" s="276"/>
      <c r="D48" s="277"/>
      <c r="E48" s="278"/>
      <c r="F48" s="279"/>
      <c r="G48" s="277"/>
      <c r="H48" s="280"/>
      <c r="I48" s="279"/>
      <c r="J48" s="277"/>
      <c r="K48" s="280"/>
      <c r="L48" s="279"/>
      <c r="M48" s="277"/>
      <c r="N48" s="278"/>
      <c r="O48" s="794" t="s">
        <v>823</v>
      </c>
      <c r="P48" s="806"/>
      <c r="Q48" s="108"/>
      <c r="R48" s="65"/>
      <c r="U48" s="133"/>
      <c r="V48" s="68"/>
      <c r="W48" s="89"/>
      <c r="X48" s="261"/>
      <c r="Y48" s="89"/>
      <c r="Z48" s="261"/>
      <c r="AA48" s="89"/>
      <c r="AB48" s="261"/>
      <c r="AC48" s="89"/>
      <c r="AD48" s="261"/>
      <c r="AE48" s="89"/>
      <c r="AF48" s="261"/>
      <c r="AG48" s="89"/>
      <c r="AH48" s="261"/>
      <c r="AI48" s="89"/>
      <c r="AJ48" s="261"/>
      <c r="AK48" s="89"/>
      <c r="AL48" s="262"/>
      <c r="AM48" s="70"/>
      <c r="AN48" s="255"/>
      <c r="AO48" s="31"/>
      <c r="AP48" s="21"/>
      <c r="AQ48" s="21"/>
      <c r="AR48" s="21"/>
      <c r="AS48" s="21"/>
    </row>
    <row r="49" spans="1:45" s="18" customFormat="1" ht="15" customHeight="1">
      <c r="A49" s="795" t="s">
        <v>54</v>
      </c>
      <c r="B49" s="810"/>
      <c r="C49" s="811"/>
      <c r="D49" s="812"/>
      <c r="E49" s="813" t="s">
        <v>910</v>
      </c>
      <c r="F49" s="814"/>
      <c r="G49" s="812"/>
      <c r="H49" s="813" t="s">
        <v>910</v>
      </c>
      <c r="I49" s="814"/>
      <c r="J49" s="812"/>
      <c r="K49" s="813" t="s">
        <v>910</v>
      </c>
      <c r="L49" s="814"/>
      <c r="M49" s="812"/>
      <c r="N49" s="813" t="s">
        <v>910</v>
      </c>
      <c r="O49" s="815">
        <f>IF($B$7="","",$B$7)</f>
      </c>
      <c r="P49" s="832" t="s">
        <v>883</v>
      </c>
      <c r="Q49" s="267"/>
      <c r="R49" s="77"/>
      <c r="U49" s="133"/>
      <c r="V49" s="68"/>
      <c r="W49" s="131"/>
      <c r="X49" s="70"/>
      <c r="Y49" s="131"/>
      <c r="Z49" s="70"/>
      <c r="AA49" s="131"/>
      <c r="AB49" s="70"/>
      <c r="AC49" s="131"/>
      <c r="AD49" s="70"/>
      <c r="AE49" s="131"/>
      <c r="AF49" s="70"/>
      <c r="AG49" s="131"/>
      <c r="AH49" s="70"/>
      <c r="AI49" s="131"/>
      <c r="AJ49" s="70"/>
      <c r="AK49" s="131"/>
      <c r="AL49" s="70"/>
      <c r="AM49" s="70"/>
      <c r="AN49" s="255"/>
      <c r="AO49" s="31"/>
      <c r="AP49" s="21"/>
      <c r="AQ49" s="21"/>
      <c r="AR49" s="21"/>
      <c r="AS49" s="21"/>
    </row>
    <row r="50" spans="1:45" s="18" customFormat="1" ht="15" customHeight="1">
      <c r="A50" s="795" t="s">
        <v>852</v>
      </c>
      <c r="B50" s="824" t="s">
        <v>883</v>
      </c>
      <c r="C50" s="221"/>
      <c r="D50" s="828"/>
      <c r="E50" s="232"/>
      <c r="F50" s="242"/>
      <c r="G50" s="828"/>
      <c r="H50" s="105"/>
      <c r="I50" s="242"/>
      <c r="J50" s="828"/>
      <c r="K50" s="105"/>
      <c r="L50" s="242"/>
      <c r="M50" s="828"/>
      <c r="N50" s="232"/>
      <c r="O50" s="794" t="s">
        <v>824</v>
      </c>
      <c r="P50" s="806"/>
      <c r="Q50" s="267"/>
      <c r="R50" s="65"/>
      <c r="U50" s="133"/>
      <c r="V50" s="68"/>
      <c r="W50" s="263"/>
      <c r="X50" s="70"/>
      <c r="Y50" s="263"/>
      <c r="Z50" s="70"/>
      <c r="AA50" s="263"/>
      <c r="AB50" s="70"/>
      <c r="AC50" s="263"/>
      <c r="AD50" s="70"/>
      <c r="AE50" s="263"/>
      <c r="AF50" s="70"/>
      <c r="AG50" s="263"/>
      <c r="AH50" s="70"/>
      <c r="AI50" s="263"/>
      <c r="AJ50" s="70"/>
      <c r="AK50" s="263"/>
      <c r="AL50" s="70"/>
      <c r="AM50" s="70"/>
      <c r="AN50" s="255"/>
      <c r="AO50" s="31"/>
      <c r="AP50" s="21"/>
      <c r="AQ50" s="21"/>
      <c r="AR50" s="21"/>
      <c r="AS50" s="21"/>
    </row>
    <row r="51" spans="1:45" s="18" customFormat="1" ht="15" customHeight="1">
      <c r="A51" s="795" t="s">
        <v>867</v>
      </c>
      <c r="B51" s="270"/>
      <c r="C51" s="222"/>
      <c r="D51" s="143"/>
      <c r="E51" s="233"/>
      <c r="F51" s="243"/>
      <c r="G51" s="143"/>
      <c r="H51" s="106"/>
      <c r="I51" s="243"/>
      <c r="J51" s="143"/>
      <c r="K51" s="106"/>
      <c r="L51" s="243"/>
      <c r="M51" s="143"/>
      <c r="N51" s="233"/>
      <c r="O51" s="815">
        <f>IF($B$8="","",$B$8)</f>
      </c>
      <c r="P51" s="832" t="s">
        <v>883</v>
      </c>
      <c r="Q51" s="264"/>
      <c r="R51" s="65"/>
      <c r="U51" s="133"/>
      <c r="V51" s="68"/>
      <c r="W51" s="267"/>
      <c r="X51" s="65"/>
      <c r="Y51" s="267"/>
      <c r="Z51" s="65"/>
      <c r="AA51" s="267"/>
      <c r="AB51" s="65"/>
      <c r="AC51" s="267"/>
      <c r="AD51" s="65"/>
      <c r="AE51" s="267"/>
      <c r="AF51" s="65"/>
      <c r="AG51" s="267"/>
      <c r="AH51" s="65"/>
      <c r="AI51" s="267"/>
      <c r="AJ51" s="65"/>
      <c r="AK51" s="267"/>
      <c r="AL51" s="70"/>
      <c r="AM51" s="70"/>
      <c r="AN51" s="255"/>
      <c r="AO51" s="31"/>
      <c r="AP51" s="21"/>
      <c r="AQ51" s="21"/>
      <c r="AR51" s="21"/>
      <c r="AS51" s="21"/>
    </row>
    <row r="52" spans="1:45" s="18" customFormat="1" ht="15" customHeight="1">
      <c r="A52" s="816" t="s">
        <v>869</v>
      </c>
      <c r="B52" s="829" t="s">
        <v>885</v>
      </c>
      <c r="C52" s="223"/>
      <c r="D52" s="828"/>
      <c r="E52" s="234"/>
      <c r="F52" s="244"/>
      <c r="G52" s="828"/>
      <c r="H52" s="107"/>
      <c r="I52" s="244"/>
      <c r="J52" s="828"/>
      <c r="K52" s="107"/>
      <c r="L52" s="244"/>
      <c r="M52" s="828"/>
      <c r="N52" s="234"/>
      <c r="O52" s="999" t="s">
        <v>1291</v>
      </c>
      <c r="P52" s="19"/>
      <c r="Q52" s="261"/>
      <c r="R52" s="261"/>
      <c r="U52" s="133"/>
      <c r="V52" s="68"/>
      <c r="W52" s="264"/>
      <c r="X52" s="77"/>
      <c r="Y52" s="264"/>
      <c r="Z52" s="77"/>
      <c r="AA52" s="264"/>
      <c r="AB52" s="77"/>
      <c r="AC52" s="264"/>
      <c r="AD52" s="77"/>
      <c r="AE52" s="264"/>
      <c r="AF52" s="77"/>
      <c r="AG52" s="264"/>
      <c r="AH52" s="77"/>
      <c r="AI52" s="264"/>
      <c r="AJ52" s="77"/>
      <c r="AK52" s="264"/>
      <c r="AL52" s="70"/>
      <c r="AM52" s="70"/>
      <c r="AN52" s="255"/>
      <c r="AO52" s="31"/>
      <c r="AP52" s="21"/>
      <c r="AQ52" s="21"/>
      <c r="AR52" s="21"/>
      <c r="AS52" s="21"/>
    </row>
    <row r="53" spans="1:45" s="18" customFormat="1" ht="15" customHeight="1">
      <c r="A53" s="795"/>
      <c r="B53" s="992"/>
      <c r="C53" s="127"/>
      <c r="D53" s="693"/>
      <c r="E53" s="129"/>
      <c r="F53" s="245"/>
      <c r="G53" s="693"/>
      <c r="H53" s="817"/>
      <c r="I53" s="245"/>
      <c r="J53" s="693"/>
      <c r="K53" s="817"/>
      <c r="L53" s="245"/>
      <c r="M53" s="693"/>
      <c r="N53" s="129"/>
      <c r="O53" s="1000" t="s">
        <v>1292</v>
      </c>
      <c r="P53" s="1001"/>
      <c r="Q53" s="131"/>
      <c r="R53" s="70"/>
      <c r="U53" s="133"/>
      <c r="V53" s="68"/>
      <c r="W53" s="89"/>
      <c r="X53" s="261"/>
      <c r="Y53" s="89"/>
      <c r="Z53" s="261"/>
      <c r="AA53" s="89"/>
      <c r="AB53" s="261"/>
      <c r="AC53" s="89"/>
      <c r="AD53" s="261"/>
      <c r="AE53" s="89"/>
      <c r="AF53" s="261"/>
      <c r="AG53" s="89"/>
      <c r="AH53" s="261"/>
      <c r="AI53" s="89"/>
      <c r="AJ53" s="261"/>
      <c r="AK53" s="89"/>
      <c r="AL53" s="262"/>
      <c r="AM53" s="70"/>
      <c r="AN53" s="255"/>
      <c r="AO53" s="31"/>
      <c r="AP53" s="21"/>
      <c r="AQ53" s="21"/>
      <c r="AR53" s="21"/>
      <c r="AS53" s="21"/>
    </row>
    <row r="54" spans="1:45" s="18" customFormat="1" ht="15" customHeight="1">
      <c r="A54" s="795" t="s">
        <v>53</v>
      </c>
      <c r="B54" s="993"/>
      <c r="C54" s="128"/>
      <c r="D54" s="693"/>
      <c r="E54" s="813" t="s">
        <v>910</v>
      </c>
      <c r="F54" s="814"/>
      <c r="G54" s="812"/>
      <c r="H54" s="813" t="s">
        <v>910</v>
      </c>
      <c r="I54" s="814"/>
      <c r="J54" s="812"/>
      <c r="K54" s="813" t="s">
        <v>910</v>
      </c>
      <c r="L54" s="814"/>
      <c r="M54" s="812"/>
      <c r="N54" s="813" t="s">
        <v>910</v>
      </c>
      <c r="O54" s="1002" t="s">
        <v>1293</v>
      </c>
      <c r="P54" s="1003"/>
      <c r="Q54" s="263"/>
      <c r="R54" s="70"/>
      <c r="S54" s="8"/>
      <c r="T54" s="8"/>
      <c r="U54" s="65"/>
      <c r="V54" s="68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70"/>
      <c r="AM54" s="70"/>
      <c r="AN54" s="70"/>
      <c r="AO54" s="31"/>
      <c r="AP54" s="21"/>
      <c r="AQ54" s="21"/>
      <c r="AR54" s="21"/>
      <c r="AS54" s="21"/>
    </row>
    <row r="55" spans="1:45" s="18" customFormat="1" ht="12.75">
      <c r="A55" s="795" t="s">
        <v>852</v>
      </c>
      <c r="B55" s="824" t="s">
        <v>883</v>
      </c>
      <c r="C55" s="221"/>
      <c r="D55" s="828"/>
      <c r="E55" s="232"/>
      <c r="F55" s="269"/>
      <c r="G55" s="828"/>
      <c r="H55" s="232"/>
      <c r="I55" s="269"/>
      <c r="J55" s="828"/>
      <c r="K55" s="232"/>
      <c r="L55" s="269"/>
      <c r="M55" s="828"/>
      <c r="N55" s="232"/>
      <c r="O55" s="1004"/>
      <c r="P55" s="1005"/>
      <c r="S55" s="77"/>
      <c r="T55" s="68"/>
      <c r="U55" s="65"/>
      <c r="V55" s="68"/>
      <c r="W55" s="65"/>
      <c r="X55" s="65"/>
      <c r="Y55" s="65"/>
      <c r="Z55" s="65"/>
      <c r="AA55" s="65"/>
      <c r="AB55" s="65"/>
      <c r="AC55" s="268"/>
      <c r="AD55" s="65"/>
      <c r="AE55" s="65"/>
      <c r="AF55" s="65"/>
      <c r="AG55" s="65"/>
      <c r="AH55" s="65"/>
      <c r="AI55" s="77"/>
      <c r="AJ55" s="77"/>
      <c r="AK55" s="77"/>
      <c r="AL55" s="77"/>
      <c r="AM55" s="68"/>
      <c r="AN55" s="65"/>
      <c r="AO55" s="31"/>
      <c r="AP55" s="21"/>
      <c r="AQ55" s="21"/>
      <c r="AR55" s="21"/>
      <c r="AS55" s="21"/>
    </row>
    <row r="56" spans="1:45" s="18" customFormat="1" ht="12.75">
      <c r="A56" s="795" t="s">
        <v>867</v>
      </c>
      <c r="B56" s="270"/>
      <c r="C56" s="222"/>
      <c r="D56" s="143"/>
      <c r="E56" s="233"/>
      <c r="F56" s="243"/>
      <c r="G56" s="143"/>
      <c r="H56" s="233"/>
      <c r="I56" s="243"/>
      <c r="J56" s="143"/>
      <c r="K56" s="233"/>
      <c r="L56" s="243"/>
      <c r="M56" s="143"/>
      <c r="N56" s="233"/>
      <c r="O56" s="999" t="s">
        <v>1294</v>
      </c>
      <c r="P56" s="19"/>
      <c r="S56" s="8"/>
      <c r="T56" s="8"/>
      <c r="U56" s="8"/>
      <c r="V56" s="8"/>
      <c r="W56" s="20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66"/>
      <c r="AN56" s="66"/>
      <c r="AO56" s="21"/>
      <c r="AP56" s="21"/>
      <c r="AQ56" s="21"/>
      <c r="AR56" s="21"/>
      <c r="AS56" s="21"/>
    </row>
    <row r="57" spans="1:45" s="18" customFormat="1" ht="12.75">
      <c r="A57" s="816" t="s">
        <v>869</v>
      </c>
      <c r="B57" s="829" t="s">
        <v>885</v>
      </c>
      <c r="C57" s="223"/>
      <c r="D57" s="828"/>
      <c r="E57" s="234"/>
      <c r="F57" s="244"/>
      <c r="G57" s="828"/>
      <c r="H57" s="234"/>
      <c r="I57" s="244"/>
      <c r="J57" s="828"/>
      <c r="K57" s="234"/>
      <c r="L57" s="244"/>
      <c r="M57" s="828"/>
      <c r="N57" s="234"/>
      <c r="O57" s="1000" t="s">
        <v>1295</v>
      </c>
      <c r="P57" s="176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66"/>
      <c r="AN57" s="66"/>
      <c r="AO57" s="21"/>
      <c r="AP57" s="21"/>
      <c r="AQ57" s="21"/>
      <c r="AR57" s="21"/>
      <c r="AS57" s="21"/>
    </row>
    <row r="58" spans="1:45" s="18" customFormat="1" ht="12.75">
      <c r="A58" s="795"/>
      <c r="B58" s="992"/>
      <c r="C58" s="127"/>
      <c r="D58" s="693"/>
      <c r="E58" s="129"/>
      <c r="F58" s="245"/>
      <c r="G58" s="693"/>
      <c r="H58" s="129"/>
      <c r="I58" s="245"/>
      <c r="J58" s="693"/>
      <c r="K58" s="129"/>
      <c r="L58" s="245"/>
      <c r="M58" s="693"/>
      <c r="N58" s="129"/>
      <c r="O58" s="1006"/>
      <c r="P58" s="1005"/>
      <c r="Q58" s="8"/>
      <c r="R58" s="8"/>
      <c r="S58" s="64"/>
      <c r="T58" s="64"/>
      <c r="U58" s="64"/>
      <c r="V58" s="65"/>
      <c r="W58" s="65"/>
      <c r="X58" s="247"/>
      <c r="Y58" s="65"/>
      <c r="Z58" s="247"/>
      <c r="AA58" s="65"/>
      <c r="AB58" s="247"/>
      <c r="AC58" s="65"/>
      <c r="AD58" s="247"/>
      <c r="AE58" s="65"/>
      <c r="AF58" s="247"/>
      <c r="AG58" s="65"/>
      <c r="AH58" s="247"/>
      <c r="AI58" s="65"/>
      <c r="AJ58" s="247"/>
      <c r="AK58" s="65"/>
      <c r="AL58" s="247"/>
      <c r="AM58" s="70"/>
      <c r="AN58" s="70"/>
      <c r="AO58" s="31"/>
      <c r="AP58" s="21"/>
      <c r="AQ58" s="21"/>
      <c r="AR58" s="21"/>
      <c r="AS58" s="21"/>
    </row>
    <row r="59" spans="1:45" s="18" customFormat="1" ht="12.75">
      <c r="A59" s="795" t="s">
        <v>52</v>
      </c>
      <c r="B59" s="993"/>
      <c r="C59" s="128"/>
      <c r="D59" s="693"/>
      <c r="E59" s="130" t="s">
        <v>911</v>
      </c>
      <c r="F59" s="246"/>
      <c r="G59" s="693"/>
      <c r="H59" s="130" t="s">
        <v>911</v>
      </c>
      <c r="I59" s="246"/>
      <c r="J59" s="693"/>
      <c r="K59" s="130" t="s">
        <v>911</v>
      </c>
      <c r="L59" s="246"/>
      <c r="M59" s="693"/>
      <c r="N59" s="130" t="s">
        <v>911</v>
      </c>
      <c r="O59" s="999" t="s">
        <v>1296</v>
      </c>
      <c r="P59" s="19"/>
      <c r="Q59" s="77"/>
      <c r="R59" s="77"/>
      <c r="S59" s="249"/>
      <c r="T59" s="64"/>
      <c r="U59" s="64"/>
      <c r="V59" s="65"/>
      <c r="W59" s="65"/>
      <c r="X59" s="248"/>
      <c r="Y59" s="65"/>
      <c r="Z59" s="248"/>
      <c r="AA59" s="65"/>
      <c r="AB59" s="248"/>
      <c r="AC59" s="65"/>
      <c r="AD59" s="248"/>
      <c r="AE59" s="65"/>
      <c r="AF59" s="248"/>
      <c r="AG59" s="65"/>
      <c r="AH59" s="248"/>
      <c r="AI59" s="65"/>
      <c r="AJ59" s="248"/>
      <c r="AK59" s="65"/>
      <c r="AL59" s="248"/>
      <c r="AM59" s="250"/>
      <c r="AN59" s="70"/>
      <c r="AO59" s="31"/>
      <c r="AP59" s="21"/>
      <c r="AQ59" s="21"/>
      <c r="AR59" s="21"/>
      <c r="AS59" s="21"/>
    </row>
    <row r="60" spans="1:45" s="18" customFormat="1" ht="12.75">
      <c r="A60" s="795" t="s">
        <v>852</v>
      </c>
      <c r="B60" s="824" t="s">
        <v>883</v>
      </c>
      <c r="C60" s="221"/>
      <c r="D60" s="828"/>
      <c r="E60" s="232"/>
      <c r="F60" s="242"/>
      <c r="G60" s="828"/>
      <c r="H60" s="232"/>
      <c r="I60" s="242"/>
      <c r="J60" s="828"/>
      <c r="K60" s="232"/>
      <c r="L60" s="242"/>
      <c r="M60" s="828"/>
      <c r="N60" s="232"/>
      <c r="O60" s="1007"/>
      <c r="P60" s="1008"/>
      <c r="Q60" s="8"/>
      <c r="R60" s="8"/>
      <c r="S60" s="249"/>
      <c r="T60" s="64"/>
      <c r="U60" s="64"/>
      <c r="V60" s="65"/>
      <c r="W60" s="65"/>
      <c r="X60" s="251"/>
      <c r="Y60" s="65"/>
      <c r="Z60" s="251"/>
      <c r="AA60" s="65"/>
      <c r="AB60" s="251"/>
      <c r="AC60" s="65"/>
      <c r="AD60" s="251"/>
      <c r="AE60" s="65"/>
      <c r="AF60" s="251"/>
      <c r="AG60" s="65"/>
      <c r="AH60" s="251"/>
      <c r="AI60" s="65"/>
      <c r="AJ60" s="251"/>
      <c r="AK60" s="65"/>
      <c r="AL60" s="251"/>
      <c r="AM60" s="250"/>
      <c r="AN60" s="70"/>
      <c r="AO60" s="31"/>
      <c r="AP60" s="21"/>
      <c r="AQ60" s="21"/>
      <c r="AR60" s="21"/>
      <c r="AS60" s="21"/>
    </row>
    <row r="61" spans="1:45" s="18" customFormat="1" ht="12.75">
      <c r="A61" s="795" t="s">
        <v>867</v>
      </c>
      <c r="B61" s="270"/>
      <c r="C61" s="222"/>
      <c r="D61" s="143"/>
      <c r="E61" s="233"/>
      <c r="F61" s="243"/>
      <c r="G61" s="143"/>
      <c r="H61" s="233"/>
      <c r="I61" s="243"/>
      <c r="J61" s="143"/>
      <c r="K61" s="233"/>
      <c r="L61" s="243"/>
      <c r="M61" s="143"/>
      <c r="N61" s="233"/>
      <c r="O61" s="1009" t="s">
        <v>909</v>
      </c>
      <c r="P61" s="1010"/>
      <c r="Q61" s="8"/>
      <c r="R61" s="8"/>
      <c r="S61" s="109"/>
      <c r="T61" s="109"/>
      <c r="U61" s="109"/>
      <c r="V61" s="65"/>
      <c r="W61" s="65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31"/>
      <c r="AP61" s="21"/>
      <c r="AQ61" s="21"/>
      <c r="AR61" s="21"/>
      <c r="AS61" s="21"/>
    </row>
    <row r="62" spans="1:45" s="18" customFormat="1" ht="12.75">
      <c r="A62" s="816" t="s">
        <v>869</v>
      </c>
      <c r="B62" s="829" t="s">
        <v>885</v>
      </c>
      <c r="C62" s="223"/>
      <c r="D62" s="828"/>
      <c r="E62" s="234"/>
      <c r="F62" s="244"/>
      <c r="G62" s="828"/>
      <c r="H62" s="234"/>
      <c r="I62" s="244"/>
      <c r="J62" s="828"/>
      <c r="K62" s="234"/>
      <c r="L62" s="244"/>
      <c r="M62" s="828"/>
      <c r="N62" s="234"/>
      <c r="O62" s="1011">
        <f>IF($H$11="","",$H$11)</f>
      </c>
      <c r="P62" s="800" t="str">
        <f>IF(Input!$B$6="","",IF(Input!$B$6="E","Degree F",IF(Input!$B$6="M","Degree C")))</f>
        <v>Degree F</v>
      </c>
      <c r="Q62" s="64"/>
      <c r="R62" s="247"/>
      <c r="S62" s="64"/>
      <c r="T62" s="64"/>
      <c r="U62" s="64"/>
      <c r="V62" s="65"/>
      <c r="W62" s="65"/>
      <c r="X62" s="205"/>
      <c r="Y62" s="65"/>
      <c r="Z62" s="205"/>
      <c r="AA62" s="65"/>
      <c r="AB62" s="205"/>
      <c r="AC62" s="65"/>
      <c r="AD62" s="205"/>
      <c r="AE62" s="65"/>
      <c r="AF62" s="205"/>
      <c r="AG62" s="65"/>
      <c r="AH62" s="205"/>
      <c r="AI62" s="65"/>
      <c r="AJ62" s="205"/>
      <c r="AK62" s="65"/>
      <c r="AL62" s="205"/>
      <c r="AM62" s="250"/>
      <c r="AN62" s="70"/>
      <c r="AO62" s="31"/>
      <c r="AP62" s="21"/>
      <c r="AQ62" s="21"/>
      <c r="AR62" s="21"/>
      <c r="AS62" s="21"/>
    </row>
    <row r="63" spans="1:45" s="18" customFormat="1" ht="12.75">
      <c r="A63" s="747"/>
      <c r="B63" s="693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93"/>
      <c r="P63" s="693"/>
      <c r="Q63" s="64"/>
      <c r="R63" s="248"/>
      <c r="S63" s="64"/>
      <c r="T63" s="64"/>
      <c r="U63" s="64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70"/>
      <c r="AN63" s="70"/>
      <c r="AO63" s="31"/>
      <c r="AP63" s="21"/>
      <c r="AQ63" s="21"/>
      <c r="AR63" s="21"/>
      <c r="AS63" s="21"/>
    </row>
    <row r="64" spans="1:45" s="18" customFormat="1" ht="12.75">
      <c r="A64" s="747" t="s">
        <v>868</v>
      </c>
      <c r="B64" s="693"/>
      <c r="C64" s="132"/>
      <c r="D64" s="830"/>
      <c r="E64" s="830"/>
      <c r="F64" s="830"/>
      <c r="G64" s="830"/>
      <c r="H64" s="830"/>
      <c r="I64" s="830"/>
      <c r="J64" s="831"/>
      <c r="K64" s="830"/>
      <c r="L64" s="830"/>
      <c r="M64" s="830"/>
      <c r="N64" s="830"/>
      <c r="O64" s="830"/>
      <c r="P64" s="830"/>
      <c r="Q64" s="64"/>
      <c r="R64" s="251"/>
      <c r="S64" s="64"/>
      <c r="T64" s="64"/>
      <c r="U64" s="64"/>
      <c r="V64" s="65"/>
      <c r="W64" s="65"/>
      <c r="X64" s="253"/>
      <c r="Y64" s="65"/>
      <c r="Z64" s="253"/>
      <c r="AA64" s="65"/>
      <c r="AB64" s="253"/>
      <c r="AC64" s="65"/>
      <c r="AD64" s="253"/>
      <c r="AE64" s="65"/>
      <c r="AF64" s="253"/>
      <c r="AG64" s="65"/>
      <c r="AH64" s="253"/>
      <c r="AI64" s="65"/>
      <c r="AJ64" s="253"/>
      <c r="AK64" s="65"/>
      <c r="AL64" s="253"/>
      <c r="AM64" s="70"/>
      <c r="AN64" s="70"/>
      <c r="AO64" s="31"/>
      <c r="AP64" s="21"/>
      <c r="AQ64" s="21"/>
      <c r="AR64" s="21"/>
      <c r="AS64" s="21"/>
    </row>
    <row r="65" spans="1:45" s="18" customFormat="1" ht="12.75">
      <c r="A65" s="66"/>
      <c r="B65" s="693"/>
      <c r="C65" s="344"/>
      <c r="D65" s="247"/>
      <c r="E65" s="255"/>
      <c r="F65" s="247"/>
      <c r="G65" s="255"/>
      <c r="H65" s="247"/>
      <c r="I65" s="255"/>
      <c r="J65" s="247"/>
      <c r="K65" s="255"/>
      <c r="L65" s="247"/>
      <c r="M65" s="255"/>
      <c r="N65" s="247"/>
      <c r="O65" s="693"/>
      <c r="P65" s="693"/>
      <c r="Q65" s="109"/>
      <c r="R65" s="109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70"/>
      <c r="AN65" s="70"/>
      <c r="AO65" s="31"/>
      <c r="AP65" s="21"/>
      <c r="AQ65" s="21"/>
      <c r="AR65" s="21"/>
      <c r="AS65" s="21"/>
    </row>
    <row r="66" spans="1:45" s="18" customFormat="1" ht="12.75">
      <c r="A66" s="493"/>
      <c r="B66" s="493"/>
      <c r="C66" s="493"/>
      <c r="D66" s="503"/>
      <c r="E66" s="503"/>
      <c r="F66" s="493"/>
      <c r="G66" s="693"/>
      <c r="H66" s="693"/>
      <c r="I66" s="693"/>
      <c r="J66" s="821"/>
      <c r="K66" s="255"/>
      <c r="L66" s="821"/>
      <c r="M66" s="568" t="s">
        <v>1016</v>
      </c>
      <c r="N66" s="569">
        <f>+IF(Input!E14="","",Input!E14)</f>
      </c>
      <c r="O66" s="571"/>
      <c r="P66" s="693"/>
      <c r="Q66" s="64"/>
      <c r="R66" s="20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70"/>
      <c r="AN66" s="70"/>
      <c r="AO66" s="31"/>
      <c r="AP66" s="21"/>
      <c r="AQ66" s="21"/>
      <c r="AR66" s="21"/>
      <c r="AS66" s="21"/>
    </row>
    <row r="67" spans="1:45" s="18" customFormat="1" ht="12.75">
      <c r="A67" s="3"/>
      <c r="B67" s="3"/>
      <c r="C67"/>
      <c r="D67"/>
      <c r="E67"/>
      <c r="F67"/>
      <c r="G67"/>
      <c r="H67"/>
      <c r="I67"/>
      <c r="J67" s="64"/>
      <c r="K67" s="64"/>
      <c r="L67" s="64"/>
      <c r="M67" s="64"/>
      <c r="N67" s="64"/>
      <c r="Q67" s="64"/>
      <c r="R67" s="64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70"/>
      <c r="AN67" s="70"/>
      <c r="AO67" s="31"/>
      <c r="AP67" s="21"/>
      <c r="AQ67" s="21"/>
      <c r="AR67" s="21"/>
      <c r="AS67" s="21"/>
    </row>
    <row r="68" spans="1:45" s="18" customFormat="1" ht="12.75">
      <c r="A68" s="8"/>
      <c r="C68" s="68"/>
      <c r="D68" s="252"/>
      <c r="E68" s="64"/>
      <c r="F68" s="252"/>
      <c r="G68" s="64"/>
      <c r="H68" s="252"/>
      <c r="I68" s="64"/>
      <c r="J68" s="252"/>
      <c r="K68" s="64"/>
      <c r="L68" s="252"/>
      <c r="M68" s="64"/>
      <c r="N68" s="252"/>
      <c r="Q68" s="64"/>
      <c r="R68" s="252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70"/>
      <c r="AN68" s="70"/>
      <c r="AO68" s="31"/>
      <c r="AP68" s="21"/>
      <c r="AQ68" s="21"/>
      <c r="AR68" s="21"/>
      <c r="AS68" s="21"/>
    </row>
    <row r="69" spans="1:45" s="18" customFormat="1" ht="12.75">
      <c r="A69" s="8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70"/>
      <c r="AN69" s="70"/>
      <c r="AO69" s="31"/>
      <c r="AP69" s="21"/>
      <c r="AQ69" s="21"/>
      <c r="AR69" s="21"/>
      <c r="AS69" s="21"/>
    </row>
    <row r="70" spans="1:45" s="18" customFormat="1" ht="12.75">
      <c r="A70" s="8"/>
      <c r="C70" s="108"/>
      <c r="D70" s="108"/>
      <c r="E70" s="108"/>
      <c r="F70" s="108"/>
      <c r="G70" s="65"/>
      <c r="H70" s="108"/>
      <c r="I70" s="65"/>
      <c r="J70" s="65"/>
      <c r="K70" s="65"/>
      <c r="L70" s="65"/>
      <c r="M70" s="65"/>
      <c r="N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70"/>
      <c r="AN70" s="70"/>
      <c r="AO70" s="31"/>
      <c r="AP70" s="21"/>
      <c r="AQ70" s="21"/>
      <c r="AR70" s="21"/>
      <c r="AS70" s="21"/>
    </row>
    <row r="71" spans="1:45" s="18" customFormat="1" ht="12.75">
      <c r="A71" s="65"/>
      <c r="B71" s="133"/>
      <c r="C71" s="108"/>
      <c r="D71" s="108"/>
      <c r="E71" s="108"/>
      <c r="F71" s="108"/>
      <c r="G71" s="108"/>
      <c r="H71" s="108"/>
      <c r="I71" s="65"/>
      <c r="J71" s="108"/>
      <c r="K71" s="108"/>
      <c r="L71" s="108"/>
      <c r="M71" s="108"/>
      <c r="N71" s="108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70"/>
      <c r="AN71" s="70"/>
      <c r="AO71" s="31"/>
      <c r="AP71" s="21"/>
      <c r="AQ71" s="21"/>
      <c r="AR71" s="21"/>
      <c r="AS71" s="21"/>
    </row>
    <row r="72" spans="1:45" s="18" customFormat="1" ht="12.75">
      <c r="A72" s="65"/>
      <c r="B72" s="133"/>
      <c r="C72" s="108"/>
      <c r="D72" s="108"/>
      <c r="E72" s="108"/>
      <c r="F72" s="108"/>
      <c r="G72" s="108"/>
      <c r="H72" s="108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70"/>
      <c r="AN72" s="70"/>
      <c r="AO72" s="31"/>
      <c r="AP72" s="21"/>
      <c r="AQ72" s="21"/>
      <c r="AR72" s="21"/>
      <c r="AS72" s="21"/>
    </row>
    <row r="73" spans="1:45" s="18" customFormat="1" ht="12.75">
      <c r="A73" s="65"/>
      <c r="B73" s="133"/>
      <c r="C73" s="108"/>
      <c r="D73" s="108"/>
      <c r="E73" s="108"/>
      <c r="F73" s="108"/>
      <c r="G73" s="108"/>
      <c r="H73" s="108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70"/>
      <c r="AN73" s="70"/>
      <c r="AO73" s="31"/>
      <c r="AP73" s="21"/>
      <c r="AQ73" s="21"/>
      <c r="AR73" s="21"/>
      <c r="AS73" s="21"/>
    </row>
    <row r="74" spans="1:45" s="18" customFormat="1" ht="12.75">
      <c r="A74" s="65"/>
      <c r="B74" s="133"/>
      <c r="C74" s="108"/>
      <c r="D74" s="108"/>
      <c r="E74" s="108"/>
      <c r="F74" s="108"/>
      <c r="G74" s="108"/>
      <c r="H74" s="108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70"/>
      <c r="AN74" s="70"/>
      <c r="AO74" s="31"/>
      <c r="AP74" s="21"/>
      <c r="AQ74" s="21"/>
      <c r="AR74" s="21"/>
      <c r="AS74" s="21"/>
    </row>
    <row r="75" spans="1:45" s="18" customFormat="1" ht="12.75">
      <c r="A75" s="65"/>
      <c r="B75" s="133"/>
      <c r="C75" s="108"/>
      <c r="D75" s="108"/>
      <c r="E75" s="108"/>
      <c r="F75" s="108"/>
      <c r="G75" s="108"/>
      <c r="H75" s="111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66"/>
      <c r="AN75" s="66"/>
      <c r="AO75" s="21"/>
      <c r="AP75" s="21"/>
      <c r="AQ75" s="21"/>
      <c r="AR75" s="21"/>
      <c r="AS75" s="21"/>
    </row>
    <row r="76" spans="1:45" s="18" customFormat="1" ht="12.75">
      <c r="A76" s="65"/>
      <c r="B76" s="133"/>
      <c r="C76" s="108"/>
      <c r="D76" s="108"/>
      <c r="E76" s="108"/>
      <c r="F76" s="108"/>
      <c r="G76" s="108"/>
      <c r="H76" s="111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66"/>
      <c r="AN76" s="66"/>
      <c r="AO76" s="21"/>
      <c r="AP76" s="21"/>
      <c r="AQ76" s="21"/>
      <c r="AR76" s="21"/>
      <c r="AS76" s="21"/>
    </row>
    <row r="77" spans="1:45" s="18" customFormat="1" ht="12.75">
      <c r="A77" s="65"/>
      <c r="B77" s="133"/>
      <c r="C77" s="108"/>
      <c r="D77" s="108"/>
      <c r="E77" s="108"/>
      <c r="F77" s="108"/>
      <c r="G77" s="108"/>
      <c r="H77" s="111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66"/>
      <c r="AN77" s="66"/>
      <c r="AO77" s="21"/>
      <c r="AP77" s="21"/>
      <c r="AQ77" s="21"/>
      <c r="AR77" s="21"/>
      <c r="AS77" s="21"/>
    </row>
    <row r="78" spans="1:45" s="18" customFormat="1" ht="12.75">
      <c r="A78" s="65"/>
      <c r="B78" s="133"/>
      <c r="C78" s="108"/>
      <c r="D78" s="108"/>
      <c r="E78" s="108"/>
      <c r="F78" s="108"/>
      <c r="G78" s="108"/>
      <c r="H78" s="111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21"/>
      <c r="AP78" s="21"/>
      <c r="AQ78" s="21"/>
      <c r="AR78" s="21"/>
      <c r="AS78" s="21"/>
    </row>
    <row r="79" spans="1:45" s="18" customFormat="1" ht="12.75">
      <c r="A79" s="65"/>
      <c r="B79" s="108"/>
      <c r="C79" s="108"/>
      <c r="D79" s="108"/>
      <c r="E79" s="108"/>
      <c r="F79" s="108"/>
      <c r="G79" s="10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21"/>
      <c r="AP79" s="21"/>
      <c r="AQ79" s="21"/>
      <c r="AR79" s="21"/>
      <c r="AS79" s="21"/>
    </row>
    <row r="80" spans="1:45" s="18" customFormat="1" ht="12.75">
      <c r="A80" s="65"/>
      <c r="B80" s="108"/>
      <c r="C80" s="108"/>
      <c r="D80" s="108"/>
      <c r="E80" s="108"/>
      <c r="F80" s="108"/>
      <c r="G80" s="10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21"/>
      <c r="AP80" s="21"/>
      <c r="AQ80" s="21"/>
      <c r="AR80" s="21"/>
      <c r="AS80" s="21"/>
    </row>
    <row r="81" spans="1:45" s="18" customFormat="1" ht="12.75">
      <c r="A81" s="65"/>
      <c r="B81" s="108"/>
      <c r="C81" s="108"/>
      <c r="D81" s="108"/>
      <c r="E81" s="108"/>
      <c r="F81" s="108"/>
      <c r="G81" s="10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21"/>
      <c r="AP81" s="21"/>
      <c r="AQ81" s="21"/>
      <c r="AR81" s="21"/>
      <c r="AS81" s="21"/>
    </row>
    <row r="82" spans="1:45" s="18" customFormat="1" ht="12.75">
      <c r="A82" s="65"/>
      <c r="B82" s="108"/>
      <c r="C82" s="108"/>
      <c r="D82" s="108"/>
      <c r="E82" s="108"/>
      <c r="F82" s="108"/>
      <c r="G82" s="10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21"/>
      <c r="AP82" s="21"/>
      <c r="AQ82" s="21"/>
      <c r="AR82" s="21"/>
      <c r="AS82" s="21"/>
    </row>
    <row r="83" spans="1:45" s="18" customFormat="1" ht="12.75">
      <c r="A83" s="65"/>
      <c r="B83" s="108"/>
      <c r="C83" s="108"/>
      <c r="D83" s="108"/>
      <c r="E83" s="108"/>
      <c r="F83" s="108"/>
      <c r="G83" s="10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21"/>
      <c r="AP83" s="21"/>
      <c r="AQ83" s="21"/>
      <c r="AR83" s="21"/>
      <c r="AS83" s="21"/>
    </row>
    <row r="84" spans="1:45" s="18" customFormat="1" ht="12.75">
      <c r="A84" s="65"/>
      <c r="B84" s="108"/>
      <c r="C84" s="108"/>
      <c r="D84" s="108"/>
      <c r="E84" s="108"/>
      <c r="F84" s="108"/>
      <c r="G84" s="10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21"/>
      <c r="AP84" s="21"/>
      <c r="AQ84" s="21"/>
      <c r="AR84" s="21"/>
      <c r="AS84" s="21"/>
    </row>
    <row r="85" spans="1:40" s="18" customFormat="1" ht="12.75">
      <c r="A85" s="65"/>
      <c r="B85" s="108"/>
      <c r="C85" s="108"/>
      <c r="D85" s="108"/>
      <c r="E85" s="108"/>
      <c r="F85" s="108"/>
      <c r="G85" s="108"/>
      <c r="H85" s="8"/>
      <c r="I85" s="8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</row>
    <row r="86" spans="1:40" s="18" customFormat="1" ht="12.75">
      <c r="A86" s="68"/>
      <c r="B86" s="282"/>
      <c r="C86" s="282"/>
      <c r="D86" s="283"/>
      <c r="E86" s="108"/>
      <c r="F86" s="65"/>
      <c r="G86" s="108"/>
      <c r="H86" s="8"/>
      <c r="I86" s="8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</row>
    <row r="87" spans="1:40" s="18" customFormat="1" ht="12.75">
      <c r="A87" s="65"/>
      <c r="B87" s="65"/>
      <c r="C87" s="65"/>
      <c r="D87" s="65"/>
      <c r="E87" s="108"/>
      <c r="F87" s="65"/>
      <c r="G87" s="108"/>
      <c r="H87" s="8"/>
      <c r="I87" s="8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</row>
    <row r="88" spans="1:40" s="18" customFormat="1" ht="12.75">
      <c r="A88" s="68"/>
      <c r="B88" s="108"/>
      <c r="C88" s="108"/>
      <c r="D88" s="108"/>
      <c r="E88" s="108"/>
      <c r="F88" s="65"/>
      <c r="G88" s="108"/>
      <c r="H88" s="8"/>
      <c r="I88" s="8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</row>
    <row r="89" spans="1:40" s="18" customFormat="1" ht="12.75">
      <c r="A89" s="8"/>
      <c r="B89" s="8"/>
      <c r="C89" s="8"/>
      <c r="D89" s="8"/>
      <c r="E89" s="8"/>
      <c r="F89" s="8"/>
      <c r="G89" s="8"/>
      <c r="H89" s="8"/>
      <c r="I89" s="8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</row>
    <row r="90" spans="1:40" s="18" customFormat="1" ht="12.75">
      <c r="A90" s="8"/>
      <c r="B90" s="8"/>
      <c r="C90" s="8"/>
      <c r="D90" s="8"/>
      <c r="E90" s="8"/>
      <c r="F90" s="8"/>
      <c r="G90" s="8"/>
      <c r="H90" s="8"/>
      <c r="I90" s="8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</row>
    <row r="91" spans="1:40" s="18" customFormat="1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</row>
    <row r="92" spans="1:40" s="18" customFormat="1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</row>
    <row r="93" spans="1:40" s="18" customFormat="1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</row>
    <row r="94" spans="1:40" s="18" customFormat="1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1:40" s="18" customFormat="1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1:40" s="18" customFormat="1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1:40" s="18" customFormat="1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</row>
    <row r="98" spans="1:40" s="18" customFormat="1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</row>
    <row r="99" spans="1:40" s="18" customFormat="1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</row>
    <row r="100" spans="1:40" s="18" customFormat="1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</row>
    <row r="101" spans="1:40" s="18" customFormat="1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</row>
    <row r="102" spans="1:40" s="18" customFormat="1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</row>
    <row r="103" spans="1:40" s="18" customFormat="1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</row>
    <row r="104" spans="1:40" s="18" customFormat="1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</row>
    <row r="105" spans="1:40" s="18" customFormat="1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</row>
    <row r="106" spans="1:40" s="18" customFormat="1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1:40" s="18" customFormat="1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</row>
    <row r="108" spans="1:40" s="18" customFormat="1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</row>
    <row r="109" spans="1:40" s="18" customFormat="1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</row>
    <row r="110" spans="1:40" s="18" customFormat="1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1" spans="1:40" s="18" customFormat="1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</row>
    <row r="112" spans="1:40" s="18" customFormat="1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</row>
    <row r="113" spans="1:40" s="18" customFormat="1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</row>
    <row r="114" spans="1:40" s="18" customFormat="1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</row>
    <row r="115" spans="1:40" s="18" customFormat="1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</row>
    <row r="116" spans="1:40" s="18" customFormat="1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</row>
    <row r="117" spans="1:40" s="18" customFormat="1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</row>
    <row r="118" spans="1:40" s="18" customFormat="1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</row>
    <row r="119" spans="1:40" s="18" customFormat="1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</row>
    <row r="120" spans="1:40" s="18" customFormat="1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</row>
    <row r="121" spans="1:40" s="18" customFormat="1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</row>
    <row r="122" spans="1:40" s="18" customFormat="1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</row>
    <row r="123" spans="1:40" s="18" customFormat="1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</row>
    <row r="124" spans="1:40" s="18" customFormat="1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</row>
    <row r="125" spans="1:40" s="18" customFormat="1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</row>
    <row r="126" spans="1:40" s="18" customFormat="1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</row>
    <row r="127" spans="1:40" s="18" customFormat="1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</row>
    <row r="128" spans="1:40" s="18" customFormat="1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</row>
    <row r="129" spans="1:40" s="18" customFormat="1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</row>
    <row r="130" spans="1:40" s="18" customFormat="1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</row>
    <row r="131" spans="1:40" s="18" customFormat="1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</row>
    <row r="132" spans="1:40" s="18" customFormat="1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</row>
    <row r="133" spans="1:40" s="18" customFormat="1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</row>
    <row r="134" spans="1:40" s="18" customFormat="1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</row>
    <row r="135" spans="1:40" s="18" customFormat="1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</row>
    <row r="136" spans="1:40" s="18" customFormat="1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</row>
    <row r="137" spans="1:40" s="18" customFormat="1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</row>
    <row r="138" spans="1:40" s="18" customFormat="1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</row>
    <row r="139" spans="1:40" s="18" customFormat="1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</row>
    <row r="140" spans="1:40" s="18" customFormat="1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</row>
    <row r="141" spans="1:40" s="18" customFormat="1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</row>
    <row r="142" spans="1:40" s="18" customFormat="1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</row>
    <row r="143" spans="1:40" s="18" customFormat="1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</row>
    <row r="144" spans="1:40" s="18" customFormat="1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</row>
    <row r="145" spans="1:40" s="18" customFormat="1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</row>
    <row r="146" spans="1:40" s="18" customFormat="1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</row>
    <row r="147" spans="1:40" s="18" customFormat="1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</row>
    <row r="148" spans="1:40" s="18" customFormat="1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</row>
    <row r="149" spans="1:40" s="18" customFormat="1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</row>
    <row r="150" spans="1:40" s="18" customFormat="1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</row>
    <row r="151" spans="1:40" s="18" customFormat="1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</row>
    <row r="152" spans="1:40" s="18" customFormat="1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</row>
    <row r="153" spans="1:40" s="18" customFormat="1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</row>
    <row r="154" spans="1:40" s="18" customFormat="1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</row>
    <row r="155" spans="1:40" s="18" customFormat="1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</row>
    <row r="156" spans="1:40" s="18" customFormat="1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</row>
    <row r="157" spans="1:40" s="18" customFormat="1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</row>
    <row r="158" spans="1:40" s="18" customFormat="1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</row>
    <row r="159" spans="1:40" s="18" customFormat="1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</row>
    <row r="160" spans="1:40" s="18" customFormat="1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</row>
    <row r="161" s="18" customFormat="1" ht="11.25"/>
    <row r="162" spans="1:40" s="18" customFormat="1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</row>
    <row r="163" spans="1:40" s="18" customFormat="1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</row>
    <row r="164" spans="1:40" s="18" customFormat="1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</row>
    <row r="165" spans="1:40" s="18" customFormat="1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</row>
    <row r="166" spans="1:40" s="18" customFormat="1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</row>
    <row r="167" spans="1:40" s="18" customFormat="1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</row>
    <row r="168" spans="1:40" s="18" customFormat="1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</row>
    <row r="169" spans="1:40" s="18" customFormat="1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</row>
    <row r="170" spans="1:40" s="18" customFormat="1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</row>
    <row r="171" spans="1:40" s="18" customFormat="1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</row>
    <row r="172" spans="1:40" s="18" customFormat="1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</row>
    <row r="173" spans="1:40" s="18" customFormat="1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</row>
    <row r="174" spans="1:40" s="18" customFormat="1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</row>
    <row r="175" spans="1:40" s="18" customFormat="1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</row>
    <row r="176" spans="1:40" s="18" customFormat="1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</row>
    <row r="177" spans="1:40" s="18" customFormat="1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</row>
    <row r="178" spans="1:40" s="18" customFormat="1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</row>
    <row r="179" spans="1:40" s="18" customFormat="1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</row>
    <row r="180" spans="1:40" s="18" customFormat="1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</row>
    <row r="181" spans="1:40" s="18" customFormat="1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</row>
    <row r="182" spans="1:40" s="18" customFormat="1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</row>
    <row r="183" spans="1:40" s="18" customFormat="1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</row>
    <row r="184" spans="1:40" s="18" customFormat="1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</row>
    <row r="185" spans="1:40" s="18" customFormat="1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</row>
    <row r="186" spans="1:40" s="18" customFormat="1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</row>
    <row r="187" spans="1:40" s="18" customFormat="1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</row>
    <row r="188" spans="1:40" s="18" customFormat="1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</row>
    <row r="189" spans="1:40" s="18" customFormat="1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</row>
    <row r="190" spans="1:40" s="18" customFormat="1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</row>
    <row r="191" spans="1:40" s="18" customFormat="1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</row>
    <row r="192" spans="1:40" s="18" customFormat="1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</row>
    <row r="193" spans="1:40" s="18" customFormat="1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</row>
    <row r="194" spans="1:40" s="18" customFormat="1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</row>
    <row r="195" spans="1:40" s="18" customFormat="1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</row>
    <row r="196" spans="1:40" s="18" customFormat="1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</row>
    <row r="197" spans="1:40" s="18" customFormat="1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</row>
    <row r="198" spans="1:40" s="18" customFormat="1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</row>
    <row r="199" spans="1:40" s="18" customFormat="1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</row>
    <row r="200" spans="1:40" s="18" customFormat="1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</row>
    <row r="201" spans="1:40" s="18" customFormat="1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</row>
    <row r="202" spans="1:40" s="18" customFormat="1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</row>
    <row r="203" spans="1:40" s="18" customFormat="1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</row>
    <row r="204" spans="1:40" s="18" customFormat="1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</row>
    <row r="205" spans="1:40" s="18" customFormat="1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</row>
    <row r="206" spans="1:40" s="18" customFormat="1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</row>
    <row r="207" spans="1:40" s="18" customFormat="1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</row>
    <row r="208" spans="1:40" s="18" customFormat="1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</row>
    <row r="209" spans="1:40" s="18" customFormat="1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</row>
    <row r="210" spans="1:40" s="18" customFormat="1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</row>
    <row r="211" spans="1:40" s="18" customFormat="1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</row>
    <row r="212" spans="1:40" s="18" customFormat="1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</row>
    <row r="213" spans="1:40" s="18" customFormat="1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</row>
    <row r="214" spans="1:40" s="18" customFormat="1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</row>
    <row r="215" spans="1:40" s="18" customFormat="1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</row>
    <row r="216" spans="1:40" s="18" customFormat="1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</row>
    <row r="217" spans="1:40" s="18" customFormat="1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</row>
    <row r="218" spans="1:40" s="18" customFormat="1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</row>
    <row r="219" spans="1:40" s="18" customFormat="1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</row>
    <row r="220" spans="1:40" s="18" customFormat="1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</row>
    <row r="221" spans="1:40" s="18" customFormat="1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</row>
    <row r="222" spans="1:40" s="18" customFormat="1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</row>
    <row r="223" spans="1:40" s="18" customFormat="1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</row>
    <row r="224" spans="1:40" s="18" customFormat="1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</row>
    <row r="225" spans="1:40" s="18" customFormat="1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</row>
    <row r="226" spans="1:40" s="18" customFormat="1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</row>
    <row r="227" spans="1:40" s="18" customFormat="1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</row>
    <row r="228" spans="1:40" s="18" customFormat="1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</row>
    <row r="229" spans="1:40" s="18" customFormat="1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</row>
    <row r="230" spans="1:40" s="18" customFormat="1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</row>
    <row r="231" spans="1:40" s="18" customFormat="1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</row>
    <row r="232" spans="1:40" s="18" customFormat="1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</row>
    <row r="233" spans="1:40" s="18" customFormat="1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</row>
    <row r="234" spans="1:40" s="18" customFormat="1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</row>
    <row r="235" spans="1:40" s="18" customFormat="1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</row>
    <row r="236" spans="1:40" s="18" customFormat="1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</row>
    <row r="237" spans="1:40" s="18" customFormat="1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</row>
    <row r="238" spans="1:40" s="18" customFormat="1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</row>
    <row r="239" spans="1:40" s="18" customFormat="1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</row>
    <row r="240" spans="1:40" s="18" customFormat="1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</row>
    <row r="241" spans="1:40" s="18" customFormat="1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</row>
    <row r="242" spans="1:40" s="18" customFormat="1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</row>
    <row r="243" spans="1:40" s="18" customFormat="1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</row>
    <row r="244" spans="1:40" s="18" customFormat="1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</row>
    <row r="245" spans="1:40" s="18" customFormat="1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</row>
    <row r="246" spans="1:40" s="18" customFormat="1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</row>
    <row r="247" spans="1:40" s="18" customFormat="1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</row>
    <row r="248" spans="1:40" s="18" customFormat="1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</row>
    <row r="249" spans="1:40" s="18" customFormat="1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</row>
    <row r="250" spans="1:40" s="18" customFormat="1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</row>
    <row r="251" spans="1:40" s="18" customFormat="1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</row>
    <row r="252" spans="1:40" s="18" customFormat="1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</row>
    <row r="253" spans="1:40" s="18" customFormat="1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</row>
    <row r="254" spans="1:40" s="18" customFormat="1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</row>
    <row r="255" spans="1:40" s="18" customFormat="1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</row>
    <row r="256" spans="1:40" s="18" customFormat="1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</row>
    <row r="257" spans="1:40" s="18" customFormat="1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</row>
    <row r="258" spans="1:40" s="18" customFormat="1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</row>
    <row r="259" spans="1:40" s="18" customFormat="1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</row>
    <row r="260" spans="1:40" s="18" customFormat="1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</row>
    <row r="261" spans="1:40" s="18" customFormat="1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</row>
    <row r="262" spans="1:40" s="18" customFormat="1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</row>
    <row r="263" spans="1:40" s="18" customFormat="1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</row>
    <row r="264" spans="1:40" s="18" customFormat="1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</row>
    <row r="265" spans="1:40" s="18" customFormat="1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</row>
    <row r="266" spans="1:40" s="18" customFormat="1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</row>
    <row r="267" spans="1:40" s="18" customFormat="1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</row>
    <row r="268" spans="1:40" s="18" customFormat="1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</row>
    <row r="269" spans="1:40" s="18" customFormat="1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</row>
    <row r="270" spans="1:40" s="18" customFormat="1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</row>
    <row r="271" spans="1:40" s="18" customFormat="1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</row>
    <row r="272" spans="1:40" s="18" customFormat="1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</row>
    <row r="273" spans="1:40" s="18" customFormat="1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</row>
    <row r="274" spans="1:40" s="18" customFormat="1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</row>
    <row r="275" spans="1:40" s="18" customFormat="1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</row>
    <row r="276" spans="1:40" s="18" customFormat="1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</row>
    <row r="277" spans="1:40" s="18" customFormat="1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</row>
    <row r="278" spans="1:40" s="18" customFormat="1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</row>
    <row r="279" spans="1:40" s="18" customFormat="1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</row>
    <row r="280" spans="1:40" s="18" customFormat="1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</row>
    <row r="281" spans="1:40" s="18" customFormat="1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</row>
    <row r="282" spans="1:40" s="18" customFormat="1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</row>
    <row r="283" spans="1:40" s="18" customFormat="1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</row>
    <row r="284" spans="1:40" s="18" customFormat="1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</row>
    <row r="285" spans="1:40" s="18" customFormat="1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</row>
    <row r="286" spans="1:40" s="18" customFormat="1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</row>
    <row r="287" spans="1:40" s="18" customFormat="1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</row>
    <row r="288" spans="1:40" s="18" customFormat="1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</row>
    <row r="289" spans="1:40" s="18" customFormat="1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</row>
    <row r="290" spans="1:40" s="18" customFormat="1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</row>
    <row r="291" spans="1:40" s="18" customFormat="1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</row>
    <row r="292" spans="1:40" s="18" customFormat="1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</row>
    <row r="293" spans="1:40" s="18" customFormat="1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</row>
    <row r="294" spans="1:40" s="18" customFormat="1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</row>
    <row r="295" spans="1:40" s="18" customFormat="1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</row>
    <row r="296" spans="1:40" s="18" customFormat="1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</row>
    <row r="297" spans="1:40" s="18" customFormat="1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</row>
    <row r="298" spans="1:40" s="18" customFormat="1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</row>
    <row r="299" spans="1:40" s="18" customFormat="1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</row>
    <row r="300" spans="1:40" s="18" customFormat="1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</row>
    <row r="301" spans="1:40" s="18" customFormat="1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</row>
    <row r="302" spans="1:40" s="18" customFormat="1" ht="12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</row>
    <row r="303" spans="1:40" s="18" customFormat="1" ht="12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</row>
    <row r="304" spans="1:40" s="18" customFormat="1" ht="12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</row>
    <row r="305" spans="1:40" s="18" customFormat="1" ht="12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</row>
    <row r="306" spans="1:40" s="18" customFormat="1" ht="12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</row>
    <row r="307" spans="1:40" s="18" customFormat="1" ht="12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</row>
    <row r="308" spans="1:40" s="18" customFormat="1" ht="12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</row>
    <row r="309" spans="1:40" s="18" customFormat="1" ht="12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</row>
    <row r="310" spans="1:40" s="18" customFormat="1" ht="12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</row>
    <row r="311" spans="1:40" s="18" customFormat="1" ht="12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</row>
    <row r="312" spans="1:40" s="18" customFormat="1" ht="12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</row>
    <row r="313" spans="1:40" s="18" customFormat="1" ht="12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</row>
    <row r="314" spans="1:40" s="18" customFormat="1" ht="12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</row>
    <row r="315" spans="1:40" s="18" customFormat="1" ht="12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</row>
    <row r="316" spans="1:40" s="18" customFormat="1" ht="12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</row>
    <row r="317" spans="1:40" s="18" customFormat="1" ht="12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</row>
    <row r="318" spans="1:40" s="18" customFormat="1" ht="12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</row>
    <row r="319" spans="1:40" s="18" customFormat="1" ht="12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</row>
    <row r="320" spans="1:40" s="18" customFormat="1" ht="12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</row>
    <row r="321" spans="1:40" s="18" customFormat="1" ht="12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</row>
    <row r="322" spans="1:40" s="18" customFormat="1" ht="12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</row>
    <row r="323" spans="1:40" s="18" customFormat="1" ht="12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</row>
    <row r="324" spans="1:40" s="18" customFormat="1" ht="12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</row>
    <row r="325" spans="1:40" s="18" customFormat="1" ht="12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</row>
    <row r="326" spans="1:40" s="18" customFormat="1" ht="12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</row>
    <row r="327" spans="1:40" s="18" customFormat="1" ht="12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</row>
    <row r="328" spans="1:40" s="18" customFormat="1" ht="12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</row>
    <row r="329" spans="1:40" s="18" customFormat="1" ht="12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</row>
    <row r="330" spans="1:40" s="18" customFormat="1" ht="12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</row>
    <row r="331" spans="1:40" s="18" customFormat="1" ht="12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</row>
    <row r="332" spans="1:40" s="18" customFormat="1" ht="12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</row>
    <row r="333" spans="1:40" s="18" customFormat="1" ht="12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</row>
    <row r="334" spans="1:40" s="18" customFormat="1" ht="12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</row>
    <row r="335" spans="1:40" s="18" customFormat="1" ht="12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</row>
    <row r="336" spans="1:40" s="18" customFormat="1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</row>
    <row r="337" spans="1:40" s="18" customFormat="1" ht="12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</row>
    <row r="338" spans="1:40" s="18" customFormat="1" ht="12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</row>
    <row r="339" spans="1:40" s="18" customFormat="1" ht="12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</row>
    <row r="340" spans="1:40" s="18" customFormat="1" ht="12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</row>
    <row r="341" spans="1:40" s="18" customFormat="1" ht="12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</row>
    <row r="342" spans="1:40" s="18" customFormat="1" ht="12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</row>
    <row r="343" spans="1:40" s="18" customFormat="1" ht="12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</row>
    <row r="344" spans="1:40" s="18" customFormat="1" ht="12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</row>
    <row r="345" spans="1:40" s="18" customFormat="1" ht="12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</row>
    <row r="346" spans="1:40" s="18" customFormat="1" ht="12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</row>
    <row r="347" spans="1:40" s="18" customFormat="1" ht="12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</row>
    <row r="348" spans="1:40" s="18" customFormat="1" ht="12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</row>
    <row r="349" spans="1:40" s="18" customFormat="1" ht="12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</row>
    <row r="350" spans="1:40" s="18" customFormat="1" ht="12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</row>
    <row r="351" spans="1:40" s="18" customFormat="1" ht="12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</row>
    <row r="352" spans="1:40" s="18" customFormat="1" ht="12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</row>
    <row r="353" spans="1:40" s="18" customFormat="1" ht="12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</row>
    <row r="354" spans="1:40" s="18" customFormat="1" ht="12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</row>
    <row r="355" spans="1:40" s="18" customFormat="1" ht="12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</row>
    <row r="356" spans="1:40" s="18" customFormat="1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</row>
    <row r="357" spans="1:40" s="18" customFormat="1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</row>
    <row r="358" spans="1:40" s="18" customFormat="1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</row>
    <row r="359" spans="1:40" s="18" customFormat="1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</row>
    <row r="360" spans="1:40" s="18" customFormat="1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</row>
    <row r="361" spans="1:40" s="18" customFormat="1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</row>
    <row r="362" s="18" customFormat="1" ht="11.25"/>
    <row r="363" s="18" customFormat="1" ht="11.25"/>
    <row r="364" s="18" customFormat="1" ht="11.25"/>
    <row r="365" s="18" customFormat="1" ht="11.25"/>
    <row r="366" s="18" customFormat="1" ht="11.25"/>
    <row r="367" s="18" customFormat="1" ht="11.25"/>
    <row r="368" s="18" customFormat="1" ht="11.25"/>
    <row r="369" s="18" customFormat="1" ht="11.25"/>
    <row r="370" s="18" customFormat="1" ht="11.25"/>
    <row r="371" s="18" customFormat="1" ht="11.25"/>
    <row r="372" s="18" customFormat="1" ht="11.25"/>
    <row r="373" s="18" customFormat="1" ht="11.25"/>
    <row r="374" s="18" customFormat="1" ht="11.25"/>
    <row r="375" s="18" customFormat="1" ht="11.25"/>
    <row r="376" s="18" customFormat="1" ht="11.25"/>
    <row r="377" s="18" customFormat="1" ht="11.25"/>
    <row r="378" s="18" customFormat="1" ht="11.25"/>
    <row r="379" s="18" customFormat="1" ht="11.25"/>
    <row r="380" s="18" customFormat="1" ht="11.25"/>
    <row r="381" s="18" customFormat="1" ht="11.25"/>
    <row r="382" s="18" customFormat="1" ht="11.25"/>
    <row r="383" s="18" customFormat="1" ht="11.25"/>
    <row r="384" s="18" customFormat="1" ht="11.25"/>
  </sheetData>
  <sheetProtection sheet="1" objects="1" scenarios="1"/>
  <mergeCells count="9">
    <mergeCell ref="BE23:BF23"/>
    <mergeCell ref="AW23:AX23"/>
    <mergeCell ref="AY23:AZ23"/>
    <mergeCell ref="BA23:BB23"/>
    <mergeCell ref="BC23:BD23"/>
    <mergeCell ref="B1:D1"/>
    <mergeCell ref="AQ23:AR23"/>
    <mergeCell ref="AS23:AT23"/>
    <mergeCell ref="AU23:AV23"/>
  </mergeCells>
  <dataValidations count="4">
    <dataValidation type="list" allowBlank="1" showInputMessage="1" showErrorMessage="1" sqref="B40:B46">
      <formula1>$S$24:$S$39</formula1>
    </dataValidation>
    <dataValidation type="list" allowBlank="1" showInputMessage="1" showErrorMessage="1" sqref="M52 J57 J60 G62 G55 G57 G60 D62 D55 D57 J55 J62 D60 M57 M60 G50 G52 D50 D52 M62 M55 J50 J52 M50">
      <formula1>$S$24:$S$37</formula1>
    </dataValidation>
    <dataValidation type="list" allowBlank="1" showInputMessage="1" showErrorMessage="1" sqref="H7">
      <formula1>$T$24:$T$25</formula1>
    </dataValidation>
    <dataValidation type="list" allowBlank="1" showInputMessage="1" showErrorMessage="1" sqref="B26:B39 B47:B48 B50 B52 B55 B57 B60 B62 P51 P49 P46 P44 P41">
      <formula1>$S$24:$S$48</formula1>
    </dataValidation>
  </dataValidations>
  <printOptions horizontalCentered="1" verticalCentered="1"/>
  <pageMargins left="0.5" right="0.5" top="0.5" bottom="0.5" header="0" footer="0"/>
  <pageSetup fitToHeight="1" fitToWidth="1" horizontalDpi="600" verticalDpi="600" orientation="landscape" scale="68" r:id="rId3"/>
  <colBreaks count="1" manualBreakCount="1">
    <brk id="20" min="13" max="53" man="1"/>
  </colBreaks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R3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57421875" style="0" bestFit="1" customWidth="1"/>
    <col min="2" max="2" width="10.8515625" style="0" bestFit="1" customWidth="1"/>
    <col min="3" max="3" width="11.421875" style="0" customWidth="1"/>
    <col min="4" max="6" width="10.7109375" style="0" customWidth="1"/>
    <col min="7" max="7" width="11.28125" style="0" customWidth="1"/>
    <col min="8" max="10" width="10.7109375" style="0" customWidth="1"/>
    <col min="11" max="11" width="11.57421875" style="0" customWidth="1"/>
    <col min="12" max="15" width="10.7109375" style="0" customWidth="1"/>
    <col min="16" max="16" width="12.28125" style="0" customWidth="1"/>
    <col min="17" max="20" width="10.7109375" style="0" customWidth="1"/>
    <col min="21" max="21" width="25.57421875" style="0" customWidth="1"/>
    <col min="22" max="22" width="12.00390625" style="0" bestFit="1" customWidth="1"/>
    <col min="23" max="40" width="10.7109375" style="0" customWidth="1"/>
  </cols>
  <sheetData>
    <row r="1" spans="1:252" s="18" customFormat="1" ht="12.75">
      <c r="A1" s="66" t="s">
        <v>912</v>
      </c>
      <c r="B1" s="1023" t="s">
        <v>861</v>
      </c>
      <c r="C1" s="1024"/>
      <c r="D1" s="1024"/>
      <c r="E1" s="66"/>
      <c r="F1" s="66"/>
      <c r="G1" s="255"/>
      <c r="H1" s="66"/>
      <c r="I1" s="693"/>
      <c r="J1" s="693"/>
      <c r="K1" s="66"/>
      <c r="L1" s="66"/>
      <c r="M1" s="66"/>
      <c r="N1" s="66"/>
      <c r="O1" s="66"/>
      <c r="P1" s="6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21"/>
      <c r="AP1" s="21"/>
      <c r="AQ1" s="21"/>
      <c r="AR1" s="21"/>
      <c r="AS1" s="21"/>
      <c r="IR1" s="18" t="s">
        <v>721</v>
      </c>
    </row>
    <row r="2" spans="1:252" s="18" customFormat="1" ht="12.75">
      <c r="A2" s="66"/>
      <c r="B2" s="66"/>
      <c r="C2" s="66"/>
      <c r="D2" s="66"/>
      <c r="E2" s="66"/>
      <c r="F2" s="66"/>
      <c r="G2" s="110"/>
      <c r="H2" s="66"/>
      <c r="I2" s="746"/>
      <c r="J2" s="255"/>
      <c r="K2" s="70"/>
      <c r="L2" s="66"/>
      <c r="M2" s="66"/>
      <c r="N2" s="66"/>
      <c r="O2" s="66"/>
      <c r="P2" s="6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21"/>
      <c r="AP2" s="21"/>
      <c r="AQ2" s="21"/>
      <c r="AR2" s="21"/>
      <c r="AS2" s="21"/>
      <c r="IR2" s="18" t="s">
        <v>722</v>
      </c>
    </row>
    <row r="3" spans="1:252" s="18" customFormat="1" ht="12.75">
      <c r="A3" s="66"/>
      <c r="B3" s="80" t="s">
        <v>611</v>
      </c>
      <c r="C3" s="66"/>
      <c r="D3" s="66"/>
      <c r="E3" s="66"/>
      <c r="F3" s="66"/>
      <c r="G3" s="66"/>
      <c r="H3" s="66"/>
      <c r="I3" s="746"/>
      <c r="J3" s="746"/>
      <c r="K3" s="70"/>
      <c r="L3" s="66"/>
      <c r="M3" s="66"/>
      <c r="N3" s="66"/>
      <c r="O3" s="66"/>
      <c r="P3" s="66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1"/>
      <c r="AP3" s="21"/>
      <c r="AQ3" s="21"/>
      <c r="AR3" s="21"/>
      <c r="AS3" s="21"/>
      <c r="IR3" s="18" t="s">
        <v>723</v>
      </c>
    </row>
    <row r="4" spans="1:252" s="18" customFormat="1" ht="12.75">
      <c r="A4" s="747" t="s">
        <v>612</v>
      </c>
      <c r="B4" s="94"/>
      <c r="C4" s="494"/>
      <c r="D4" s="747" t="s">
        <v>743</v>
      </c>
      <c r="E4" s="95"/>
      <c r="F4" s="66"/>
      <c r="G4" s="66"/>
      <c r="H4" s="66"/>
      <c r="I4" s="746"/>
      <c r="J4" s="255"/>
      <c r="K4" s="70"/>
      <c r="L4" s="66"/>
      <c r="M4" s="66"/>
      <c r="N4" s="66"/>
      <c r="O4" s="66"/>
      <c r="P4" s="66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21"/>
      <c r="AP4" s="21"/>
      <c r="AQ4" s="21"/>
      <c r="AR4" s="21"/>
      <c r="AS4" s="21"/>
      <c r="IR4" s="18" t="s">
        <v>615</v>
      </c>
    </row>
    <row r="5" spans="1:45" s="18" customFormat="1" ht="12.75">
      <c r="A5" s="747" t="s">
        <v>613</v>
      </c>
      <c r="B5" s="96"/>
      <c r="C5" s="494"/>
      <c r="D5" s="747" t="s">
        <v>1016</v>
      </c>
      <c r="E5" s="748">
        <f>IF(Input!$E$14="","",Input!$E$14)</f>
      </c>
      <c r="F5" s="749"/>
      <c r="G5" s="750"/>
      <c r="H5" s="66"/>
      <c r="I5" s="746"/>
      <c r="J5" s="746"/>
      <c r="K5" s="70"/>
      <c r="L5" s="66"/>
      <c r="M5" s="66"/>
      <c r="N5" s="66"/>
      <c r="O5" s="66"/>
      <c r="P5" s="66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21"/>
      <c r="AP5" s="21"/>
      <c r="AQ5" s="21"/>
      <c r="AR5" s="21"/>
      <c r="AS5" s="21"/>
    </row>
    <row r="6" spans="1:45" s="18" customFormat="1" ht="12.75">
      <c r="A6" s="747" t="s">
        <v>614</v>
      </c>
      <c r="B6" s="97"/>
      <c r="C6" s="494"/>
      <c r="D6" s="747" t="s">
        <v>744</v>
      </c>
      <c r="E6" s="98"/>
      <c r="F6" s="751" t="str">
        <f>IF(Input!$B$6="","",IF(Input!$B$6="E","Degree F",IF(Input!$B$6="M","Degree C")))</f>
        <v>Degree F</v>
      </c>
      <c r="G6" s="66"/>
      <c r="H6" s="70"/>
      <c r="I6" s="70"/>
      <c r="J6" s="255"/>
      <c r="K6" s="70"/>
      <c r="L6" s="66"/>
      <c r="M6" s="66"/>
      <c r="N6" s="66"/>
      <c r="O6" s="66"/>
      <c r="P6" s="66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21"/>
      <c r="AP6" s="21"/>
      <c r="AQ6" s="21"/>
      <c r="AR6" s="21"/>
      <c r="AS6" s="21"/>
    </row>
    <row r="7" spans="1:45" s="18" customFormat="1" ht="12.75">
      <c r="A7" s="747" t="s">
        <v>616</v>
      </c>
      <c r="B7" s="822"/>
      <c r="C7" s="752" t="str">
        <f>IF(Input!$B$6="","",IF(Input!$B$6="E","psi",IF(Input!$B$6="M","kPa")))</f>
        <v>psi</v>
      </c>
      <c r="D7" s="693"/>
      <c r="E7" s="693"/>
      <c r="F7" s="693"/>
      <c r="G7" s="753" t="s">
        <v>906</v>
      </c>
      <c r="H7" s="25"/>
      <c r="I7" s="693"/>
      <c r="J7" s="693"/>
      <c r="K7" s="693"/>
      <c r="L7" s="66"/>
      <c r="M7" s="66"/>
      <c r="N7" s="66"/>
      <c r="O7" s="66"/>
      <c r="P7" s="66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21"/>
      <c r="AP7" s="21"/>
      <c r="AQ7" s="21"/>
      <c r="AR7" s="21"/>
      <c r="AS7" s="21"/>
    </row>
    <row r="8" spans="1:45" s="18" customFormat="1" ht="12.75">
      <c r="A8" s="747" t="s">
        <v>617</v>
      </c>
      <c r="B8" s="822"/>
      <c r="C8" s="752" t="str">
        <f>IF(Input!$B$6="","",IF(Input!$B$6="E","psi",IF(Input!$B$6="M","kPa")))</f>
        <v>psi</v>
      </c>
      <c r="D8" s="66"/>
      <c r="E8" s="66"/>
      <c r="F8" s="66"/>
      <c r="G8" s="693"/>
      <c r="H8" s="693" t="s">
        <v>915</v>
      </c>
      <c r="I8" s="693" t="s">
        <v>916</v>
      </c>
      <c r="J8" s="693"/>
      <c r="K8" s="693"/>
      <c r="L8" s="66"/>
      <c r="M8" s="66"/>
      <c r="N8" s="66"/>
      <c r="O8" s="66"/>
      <c r="P8" s="66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21"/>
      <c r="AP8" s="21"/>
      <c r="AQ8" s="21"/>
      <c r="AR8" s="21"/>
      <c r="AS8" s="21"/>
    </row>
    <row r="9" spans="1:45" s="18" customFormat="1" ht="12.75">
      <c r="A9" s="747" t="s">
        <v>618</v>
      </c>
      <c r="B9" s="113"/>
      <c r="C9" s="751" t="str">
        <f>IF(Input!$B$6="","",IF(Input!$B$6="E","Degree F",IF(Input!$B$6="M","Degree C")))</f>
        <v>Degree F</v>
      </c>
      <c r="D9" s="66"/>
      <c r="E9" s="66"/>
      <c r="F9" s="66"/>
      <c r="G9" s="753" t="str">
        <f>IF($H$7="Heat/Steam","Heat On","Started")</f>
        <v>Started</v>
      </c>
      <c r="H9" s="142"/>
      <c r="I9" s="293"/>
      <c r="J9" s="746"/>
      <c r="K9" s="70"/>
      <c r="L9" s="66"/>
      <c r="M9" s="66"/>
      <c r="N9" s="66"/>
      <c r="O9" s="66"/>
      <c r="P9" s="66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21"/>
      <c r="AP9" s="21"/>
      <c r="AQ9" s="21"/>
      <c r="AR9" s="21"/>
      <c r="AS9" s="21"/>
    </row>
    <row r="10" spans="1:45" s="18" customFormat="1" ht="12.75">
      <c r="A10" s="693"/>
      <c r="B10" s="693"/>
      <c r="C10" s="693"/>
      <c r="D10" s="66"/>
      <c r="E10" s="66"/>
      <c r="F10" s="66"/>
      <c r="G10" s="753" t="str">
        <f>IF($H$7="Heat/Steam","Heat Off","Completed")</f>
        <v>Completed</v>
      </c>
      <c r="H10" s="142"/>
      <c r="I10" s="293"/>
      <c r="J10" s="255"/>
      <c r="K10" s="70"/>
      <c r="L10" s="66"/>
      <c r="M10" s="66"/>
      <c r="N10" s="66"/>
      <c r="O10" s="66"/>
      <c r="P10" s="66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21"/>
      <c r="AP10" s="21"/>
      <c r="AQ10" s="21"/>
      <c r="AR10" s="21"/>
      <c r="AS10" s="21"/>
    </row>
    <row r="11" spans="1:45" s="18" customFormat="1" ht="12.75">
      <c r="A11" s="66" t="s">
        <v>619</v>
      </c>
      <c r="B11" s="66"/>
      <c r="C11" s="66"/>
      <c r="D11" s="66"/>
      <c r="E11" s="66"/>
      <c r="F11" s="66"/>
      <c r="G11" s="753" t="s">
        <v>631</v>
      </c>
      <c r="H11" s="25"/>
      <c r="I11" s="751" t="str">
        <f>IF(Input!$B$6="","",IF(Input!$B$6="E","Degree F",IF(Input!$B$6="M","Degree C")))</f>
        <v>Degree F</v>
      </c>
      <c r="J11" s="586" t="s">
        <v>907</v>
      </c>
      <c r="K11" s="70"/>
      <c r="L11" s="66"/>
      <c r="M11" s="66"/>
      <c r="N11" s="66"/>
      <c r="O11" s="66"/>
      <c r="P11" s="66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21"/>
      <c r="AP11" s="21"/>
      <c r="AQ11" s="21"/>
      <c r="AR11" s="21"/>
      <c r="AS11" s="21"/>
    </row>
    <row r="12" spans="1:62" s="18" customFormat="1" ht="12.75">
      <c r="A12" s="66" t="s">
        <v>620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31"/>
      <c r="AP12" s="31"/>
      <c r="AQ12" s="36"/>
      <c r="AR12" s="31"/>
      <c r="AS12" s="31"/>
      <c r="AT12" s="31"/>
      <c r="AU12" s="31"/>
      <c r="AV12" s="31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</row>
    <row r="13" spans="1:16" s="18" customFormat="1" ht="7.5" customHeight="1">
      <c r="A13" s="754"/>
      <c r="B13" s="755"/>
      <c r="C13" s="755"/>
      <c r="D13" s="755"/>
      <c r="E13" s="755"/>
      <c r="F13" s="755"/>
      <c r="G13" s="755"/>
      <c r="H13" s="755"/>
      <c r="I13" s="755"/>
      <c r="J13" s="755"/>
      <c r="K13" s="755"/>
      <c r="L13" s="755"/>
      <c r="M13" s="755"/>
      <c r="N13" s="755"/>
      <c r="O13" s="755"/>
      <c r="P13" s="755"/>
    </row>
    <row r="14" spans="1:45" s="18" customFormat="1" ht="15" customHeight="1">
      <c r="A14" s="756" t="s">
        <v>624</v>
      </c>
      <c r="B14" s="757" t="s">
        <v>622</v>
      </c>
      <c r="C14" s="594">
        <f>IF(Input!$B$7="","",Input!$B$7)</f>
      </c>
      <c r="D14" s="594">
        <f>IF(Input!$B$9="","",Input!$B$9)</f>
      </c>
      <c r="E14" s="70"/>
      <c r="F14" s="66"/>
      <c r="G14" s="66" t="s">
        <v>623</v>
      </c>
      <c r="H14" s="66"/>
      <c r="I14" s="66"/>
      <c r="J14" s="66"/>
      <c r="K14" s="66"/>
      <c r="L14" s="66" t="s">
        <v>138</v>
      </c>
      <c r="M14" s="66" t="s">
        <v>138</v>
      </c>
      <c r="N14" s="66"/>
      <c r="O14" s="7" t="s">
        <v>1310</v>
      </c>
      <c r="P14" s="66"/>
      <c r="Q14" s="8"/>
      <c r="R14" s="8"/>
      <c r="S14" s="8"/>
      <c r="T14" s="8"/>
      <c r="U14" s="65"/>
      <c r="V14" s="65"/>
      <c r="W14" s="64"/>
      <c r="X14" s="64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31"/>
      <c r="AP14" s="21"/>
      <c r="AQ14" s="21"/>
      <c r="AR14" s="21"/>
      <c r="AS14" s="21"/>
    </row>
    <row r="15" spans="1:45" s="18" customFormat="1" ht="15" customHeight="1">
      <c r="A15" s="758" t="s">
        <v>625</v>
      </c>
      <c r="B15" s="759">
        <f>+IF(E6="","",E6)</f>
      </c>
      <c r="C15" s="702" t="str">
        <f>IF(Input!$B$6="","",IF(Input!$B$6="E","Degree F",IF(Input!$B$6="M","Degree C")))</f>
        <v>Degree F</v>
      </c>
      <c r="D15" s="66"/>
      <c r="E15" s="66"/>
      <c r="F15" s="66"/>
      <c r="G15" s="66" t="s">
        <v>626</v>
      </c>
      <c r="H15" s="66"/>
      <c r="I15" s="66"/>
      <c r="J15" s="66"/>
      <c r="K15" s="747" t="s">
        <v>627</v>
      </c>
      <c r="L15" s="99">
        <f>IF($E$4="","",$E$4)</f>
      </c>
      <c r="M15" s="494"/>
      <c r="N15" s="747" t="s">
        <v>728</v>
      </c>
      <c r="O15" s="760">
        <f>IF(Source!B28="","",Source!B28)</f>
      </c>
      <c r="P15" s="66"/>
      <c r="Q15" s="40"/>
      <c r="T15" s="8"/>
      <c r="U15" s="65"/>
      <c r="V15" s="77"/>
      <c r="W15" s="77"/>
      <c r="X15" s="65"/>
      <c r="Y15" s="65"/>
      <c r="Z15" s="65"/>
      <c r="AA15" s="65"/>
      <c r="AB15" s="65"/>
      <c r="AC15" s="65"/>
      <c r="AD15" s="65"/>
      <c r="AE15" s="65"/>
      <c r="AF15" s="65"/>
      <c r="AG15" s="68"/>
      <c r="AH15" s="65"/>
      <c r="AI15" s="110"/>
      <c r="AJ15" s="65"/>
      <c r="AK15" s="65"/>
      <c r="AL15" s="65"/>
      <c r="AM15" s="65"/>
      <c r="AN15" s="65"/>
      <c r="AO15" s="31"/>
      <c r="AP15" s="21"/>
      <c r="AQ15" s="21"/>
      <c r="AR15" s="21"/>
      <c r="AS15" s="21"/>
    </row>
    <row r="16" spans="1:44" s="18" customFormat="1" ht="15" customHeight="1">
      <c r="A16" s="761"/>
      <c r="B16" s="747" t="s">
        <v>724</v>
      </c>
      <c r="C16" s="762">
        <f>IF(Input!B31="","",Input!B31)</f>
      </c>
      <c r="D16" s="762"/>
      <c r="E16" s="762"/>
      <c r="F16" s="66"/>
      <c r="G16" s="494"/>
      <c r="H16" s="747" t="s">
        <v>727</v>
      </c>
      <c r="I16" s="763">
        <f>IF(Input!B8="","",Input!B8)</f>
      </c>
      <c r="J16" s="66"/>
      <c r="K16" s="66"/>
      <c r="L16" s="66"/>
      <c r="M16" s="66"/>
      <c r="N16" s="66"/>
      <c r="O16" s="66"/>
      <c r="P16" s="66"/>
      <c r="Q16" s="8"/>
      <c r="R16" s="8"/>
      <c r="S16" s="8"/>
      <c r="T16" s="8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31"/>
      <c r="AP16" s="21"/>
      <c r="AQ16" s="21"/>
      <c r="AR16" s="21"/>
    </row>
    <row r="17" spans="1:44" s="18" customFormat="1" ht="15" customHeight="1">
      <c r="A17" s="344"/>
      <c r="B17" s="747" t="s">
        <v>725</v>
      </c>
      <c r="C17" s="762">
        <f>IF(Input!B33="","",Input!B33)</f>
      </c>
      <c r="D17" s="762"/>
      <c r="E17" s="762"/>
      <c r="F17" s="66"/>
      <c r="G17" s="494"/>
      <c r="H17" s="747" t="s">
        <v>726</v>
      </c>
      <c r="I17" s="763">
        <f>IF(D14="","",D14)</f>
      </c>
      <c r="J17" s="66"/>
      <c r="K17" s="747" t="s">
        <v>628</v>
      </c>
      <c r="L17" s="748">
        <f>IF(E5="","",E5)</f>
      </c>
      <c r="M17" s="749"/>
      <c r="N17" s="749"/>
      <c r="O17" s="750"/>
      <c r="P17" s="66"/>
      <c r="Q17" s="8"/>
      <c r="R17" s="8"/>
      <c r="S17" s="8"/>
      <c r="T17" s="8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8"/>
      <c r="AF17" s="65"/>
      <c r="AG17" s="65"/>
      <c r="AH17" s="65"/>
      <c r="AI17" s="65"/>
      <c r="AJ17" s="65"/>
      <c r="AK17" s="65"/>
      <c r="AL17" s="65"/>
      <c r="AM17" s="65"/>
      <c r="AN17" s="65"/>
      <c r="AO17" s="31"/>
      <c r="AP17" s="21"/>
      <c r="AQ17" s="21"/>
      <c r="AR17" s="21"/>
    </row>
    <row r="18" spans="1:44" s="18" customFormat="1" ht="15" customHeight="1">
      <c r="A18" s="764"/>
      <c r="B18" s="693"/>
      <c r="C18" s="693"/>
      <c r="D18" s="693"/>
      <c r="E18" s="693"/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31"/>
      <c r="AP18" s="21"/>
      <c r="AQ18" s="21"/>
      <c r="AR18" s="21"/>
    </row>
    <row r="19" spans="1:44" s="18" customFormat="1" ht="15" customHeight="1">
      <c r="A19" s="758"/>
      <c r="B19" s="765" t="s">
        <v>629</v>
      </c>
      <c r="C19" s="766">
        <f>IF(Input!$E$64="","",Input!$E$64)</f>
      </c>
      <c r="D19" s="767" t="s">
        <v>630</v>
      </c>
      <c r="E19" s="768">
        <f>IF($E$4="","",$E$4)</f>
      </c>
      <c r="F19" s="769">
        <f>IF(Input!$E$65="","",Input!$E$65)</f>
      </c>
      <c r="G19" s="770"/>
      <c r="H19" s="771">
        <f>IF($E$4="","",$E$4)</f>
      </c>
      <c r="I19" s="772">
        <f>IF(Input!$E$66="","",Input!$E$66)</f>
      </c>
      <c r="J19" s="773"/>
      <c r="K19" s="774">
        <f>IF($E$4="","",$E$4)</f>
      </c>
      <c r="L19" s="775">
        <f>IF(Input!$E$67="","",Input!$E$67)</f>
      </c>
      <c r="M19" s="776"/>
      <c r="N19" s="777">
        <f>IF($E$4="","",$E$4)</f>
      </c>
      <c r="O19" s="818" t="s">
        <v>908</v>
      </c>
      <c r="P19" s="819">
        <f>IF($H$7="","",$H$7)</f>
      </c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31"/>
      <c r="AP19" s="21"/>
      <c r="AQ19" s="21"/>
      <c r="AR19" s="21"/>
    </row>
    <row r="20" spans="1:44" s="18" customFormat="1" ht="15" customHeight="1">
      <c r="A20" s="779"/>
      <c r="B20" s="780"/>
      <c r="C20" s="781" t="s">
        <v>893</v>
      </c>
      <c r="D20" s="781" t="s">
        <v>894</v>
      </c>
      <c r="E20" s="782" t="s">
        <v>895</v>
      </c>
      <c r="F20" s="783" t="s">
        <v>893</v>
      </c>
      <c r="G20" s="784" t="s">
        <v>894</v>
      </c>
      <c r="H20" s="785" t="s">
        <v>895</v>
      </c>
      <c r="I20" s="786" t="s">
        <v>893</v>
      </c>
      <c r="J20" s="787" t="s">
        <v>896</v>
      </c>
      <c r="K20" s="788" t="s">
        <v>895</v>
      </c>
      <c r="L20" s="789" t="s">
        <v>893</v>
      </c>
      <c r="M20" s="790" t="s">
        <v>896</v>
      </c>
      <c r="N20" s="791" t="s">
        <v>895</v>
      </c>
      <c r="O20" s="794" t="str">
        <f>+$G$9</f>
        <v>Started</v>
      </c>
      <c r="P20" s="284">
        <f>IF($H$9="","",$H$9)</f>
      </c>
      <c r="Q20" s="264"/>
      <c r="R20" s="64"/>
      <c r="U20" s="133"/>
      <c r="V20" s="65"/>
      <c r="W20" s="89"/>
      <c r="X20" s="108"/>
      <c r="Y20" s="264"/>
      <c r="Z20" s="64"/>
      <c r="AA20" s="89"/>
      <c r="AB20" s="64"/>
      <c r="AC20" s="264"/>
      <c r="AD20" s="64"/>
      <c r="AE20" s="89"/>
      <c r="AF20" s="64"/>
      <c r="AG20" s="264"/>
      <c r="AH20" s="64"/>
      <c r="AI20" s="89"/>
      <c r="AJ20" s="64"/>
      <c r="AK20" s="264"/>
      <c r="AL20" s="255"/>
      <c r="AM20" s="255"/>
      <c r="AN20" s="255"/>
      <c r="AO20" s="31"/>
      <c r="AP20" s="21"/>
      <c r="AQ20" s="21"/>
      <c r="AR20" s="21"/>
    </row>
    <row r="21" spans="1:44" s="18" customFormat="1" ht="15" customHeight="1">
      <c r="A21" s="792" t="s">
        <v>731</v>
      </c>
      <c r="B21" s="793"/>
      <c r="C21" s="224"/>
      <c r="D21" s="224"/>
      <c r="E21" s="234"/>
      <c r="F21" s="254"/>
      <c r="G21" s="224"/>
      <c r="H21" s="107"/>
      <c r="I21" s="254"/>
      <c r="J21" s="224"/>
      <c r="K21" s="107"/>
      <c r="L21" s="254"/>
      <c r="M21" s="224"/>
      <c r="N21" s="234"/>
      <c r="O21" s="820"/>
      <c r="P21" s="294">
        <f>IF($I$9="","",$I$9)</f>
      </c>
      <c r="Q21" s="89"/>
      <c r="R21" s="65"/>
      <c r="U21" s="133"/>
      <c r="V21" s="68"/>
      <c r="W21" s="89"/>
      <c r="X21" s="64"/>
      <c r="Y21" s="89"/>
      <c r="Z21" s="65"/>
      <c r="AA21" s="89"/>
      <c r="AB21" s="64"/>
      <c r="AC21" s="89"/>
      <c r="AD21" s="65"/>
      <c r="AE21" s="89"/>
      <c r="AF21" s="64"/>
      <c r="AG21" s="89"/>
      <c r="AH21" s="65"/>
      <c r="AI21" s="89"/>
      <c r="AJ21" s="64"/>
      <c r="AK21" s="89"/>
      <c r="AL21" s="70"/>
      <c r="AM21" s="70"/>
      <c r="AN21" s="70"/>
      <c r="AO21" s="31"/>
      <c r="AP21" s="21"/>
      <c r="AQ21" s="21"/>
      <c r="AR21" s="21"/>
    </row>
    <row r="22" spans="1:44" s="18" customFormat="1" ht="15" customHeight="1">
      <c r="A22" s="795" t="s">
        <v>730</v>
      </c>
      <c r="B22" s="796"/>
      <c r="C22" s="100"/>
      <c r="D22" s="143"/>
      <c r="E22" s="226"/>
      <c r="F22" s="235"/>
      <c r="G22" s="143"/>
      <c r="H22" s="100"/>
      <c r="I22" s="235"/>
      <c r="J22" s="143"/>
      <c r="K22" s="100"/>
      <c r="L22" s="235"/>
      <c r="M22" s="143"/>
      <c r="N22" s="226"/>
      <c r="O22" s="794" t="str">
        <f>+$G$10</f>
        <v>Completed</v>
      </c>
      <c r="P22" s="284">
        <f>IF($H$10="","",$H$10)</f>
      </c>
      <c r="Q22" s="89"/>
      <c r="R22" s="65"/>
      <c r="U22" s="133"/>
      <c r="V22" s="68"/>
      <c r="W22" s="89"/>
      <c r="X22" s="65"/>
      <c r="Y22" s="89"/>
      <c r="Z22" s="65"/>
      <c r="AA22" s="89"/>
      <c r="AB22" s="65"/>
      <c r="AC22" s="89"/>
      <c r="AD22" s="65"/>
      <c r="AE22" s="89"/>
      <c r="AF22" s="65"/>
      <c r="AG22" s="89"/>
      <c r="AH22" s="65"/>
      <c r="AI22" s="89"/>
      <c r="AJ22" s="65"/>
      <c r="AK22" s="89"/>
      <c r="AL22" s="70"/>
      <c r="AM22" s="70"/>
      <c r="AN22" s="70"/>
      <c r="AO22" s="31"/>
      <c r="AP22" s="21"/>
      <c r="AQ22" s="21"/>
      <c r="AR22" s="21"/>
    </row>
    <row r="23" spans="1:59" s="18" customFormat="1" ht="15" customHeight="1">
      <c r="A23" s="795" t="s">
        <v>729</v>
      </c>
      <c r="B23" s="796"/>
      <c r="C23" s="101"/>
      <c r="D23" s="143"/>
      <c r="E23" s="227"/>
      <c r="F23" s="236"/>
      <c r="G23" s="143"/>
      <c r="H23" s="101"/>
      <c r="I23" s="236"/>
      <c r="J23" s="143"/>
      <c r="K23" s="101"/>
      <c r="L23" s="236"/>
      <c r="M23" s="143"/>
      <c r="N23" s="227"/>
      <c r="O23" s="820"/>
      <c r="P23" s="294">
        <f>IF($I$10="","",$I$10)</f>
      </c>
      <c r="Q23" s="265"/>
      <c r="R23" s="65"/>
      <c r="U23" s="133"/>
      <c r="V23" s="68"/>
      <c r="W23" s="265"/>
      <c r="X23" s="65"/>
      <c r="Y23" s="265"/>
      <c r="Z23" s="65"/>
      <c r="AA23" s="265"/>
      <c r="AB23" s="65"/>
      <c r="AC23" s="265"/>
      <c r="AD23" s="65"/>
      <c r="AE23" s="265"/>
      <c r="AF23" s="65"/>
      <c r="AG23" s="265"/>
      <c r="AH23" s="65"/>
      <c r="AI23" s="265"/>
      <c r="AJ23" s="65"/>
      <c r="AK23" s="265"/>
      <c r="AL23" s="70"/>
      <c r="AM23" s="70"/>
      <c r="AN23" s="70"/>
      <c r="AO23" s="31"/>
      <c r="AP23" s="21"/>
      <c r="AQ23" s="1037"/>
      <c r="AR23" s="1037"/>
      <c r="AS23" s="1037"/>
      <c r="AT23" s="1037"/>
      <c r="AU23" s="1037"/>
      <c r="AV23" s="1037"/>
      <c r="AW23" s="1037"/>
      <c r="AX23" s="1037"/>
      <c r="AY23" s="1037"/>
      <c r="AZ23" s="1037"/>
      <c r="BA23" s="1037"/>
      <c r="BB23" s="1037"/>
      <c r="BC23" s="1037"/>
      <c r="BD23" s="1037"/>
      <c r="BE23" s="1037"/>
      <c r="BF23" s="1037"/>
      <c r="BG23" s="133"/>
    </row>
    <row r="24" spans="1:90" s="18" customFormat="1" ht="15" customHeight="1">
      <c r="A24" s="795" t="s">
        <v>732</v>
      </c>
      <c r="B24" s="751" t="str">
        <f>IF(Input!$B$6="","",IF(Input!$B$6="E","Degree F",IF(Input!$B$6="M","Degree C")))</f>
        <v>Degree F</v>
      </c>
      <c r="C24" s="100"/>
      <c r="D24" s="143"/>
      <c r="E24" s="228"/>
      <c r="F24" s="235"/>
      <c r="G24" s="143"/>
      <c r="H24" s="102"/>
      <c r="I24" s="235"/>
      <c r="J24" s="143"/>
      <c r="K24" s="102"/>
      <c r="L24" s="235"/>
      <c r="M24" s="143"/>
      <c r="N24" s="228"/>
      <c r="O24" s="799" t="s">
        <v>903</v>
      </c>
      <c r="P24" s="285"/>
      <c r="Q24" s="261"/>
      <c r="R24" s="65"/>
      <c r="S24" s="23" t="s">
        <v>887</v>
      </c>
      <c r="T24" s="833" t="s">
        <v>585</v>
      </c>
      <c r="U24" s="133"/>
      <c r="V24" s="68"/>
      <c r="W24" s="266"/>
      <c r="X24" s="77"/>
      <c r="Y24" s="266"/>
      <c r="Z24" s="65"/>
      <c r="AA24" s="266"/>
      <c r="AB24" s="65"/>
      <c r="AC24" s="266"/>
      <c r="AD24" s="65"/>
      <c r="AE24" s="266"/>
      <c r="AF24" s="65"/>
      <c r="AG24" s="266"/>
      <c r="AH24" s="65"/>
      <c r="AI24" s="266"/>
      <c r="AJ24" s="65"/>
      <c r="AK24" s="266"/>
      <c r="AL24" s="70"/>
      <c r="AM24" s="70"/>
      <c r="AN24" s="255"/>
      <c r="AO24" s="31"/>
      <c r="AP24" s="21"/>
      <c r="AQ24" s="38"/>
      <c r="AR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216"/>
      <c r="BH24" s="38"/>
      <c r="BI24" s="31"/>
      <c r="BJ24" s="38"/>
      <c r="BK24" s="31"/>
      <c r="BL24" s="38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8"/>
      <c r="CB24" s="38"/>
      <c r="CC24" s="38"/>
      <c r="CD24" s="38"/>
      <c r="CE24" s="38"/>
      <c r="CF24" s="31"/>
      <c r="CG24" s="31"/>
      <c r="CH24" s="31"/>
      <c r="CI24" s="31"/>
      <c r="CJ24" s="31"/>
      <c r="CK24" s="31"/>
      <c r="CL24" s="31"/>
    </row>
    <row r="25" spans="1:44" s="18" customFormat="1" ht="15" customHeight="1">
      <c r="A25" s="795" t="s">
        <v>733</v>
      </c>
      <c r="B25" s="751" t="str">
        <f>IF(Input!$B$6="","",IF(Input!$B$6="E","Degree F",IF(Input!$B$6="M","Degree C")))</f>
        <v>Degree F</v>
      </c>
      <c r="C25" s="214"/>
      <c r="D25" s="143"/>
      <c r="E25" s="229"/>
      <c r="F25" s="237"/>
      <c r="G25" s="143"/>
      <c r="H25" s="104"/>
      <c r="I25" s="237"/>
      <c r="J25" s="143"/>
      <c r="K25" s="104"/>
      <c r="L25" s="237"/>
      <c r="M25" s="143"/>
      <c r="N25" s="229"/>
      <c r="O25" s="281">
        <f>IF($B$9="","",$B$9)</f>
      </c>
      <c r="P25" s="800" t="str">
        <f>IF(Input!$B$6="","",IF(Input!$B$6="E","Degree F",IF(Input!$B$6="M","Degree C")))</f>
        <v>Degree F</v>
      </c>
      <c r="Q25" s="261"/>
      <c r="R25" s="65"/>
      <c r="S25" s="23" t="s">
        <v>888</v>
      </c>
      <c r="T25" s="833" t="s">
        <v>914</v>
      </c>
      <c r="U25" s="133"/>
      <c r="V25" s="68"/>
      <c r="W25" s="266"/>
      <c r="X25" s="65"/>
      <c r="Y25" s="266"/>
      <c r="Z25" s="65"/>
      <c r="AA25" s="266"/>
      <c r="AB25" s="65"/>
      <c r="AC25" s="266"/>
      <c r="AD25" s="65"/>
      <c r="AE25" s="266"/>
      <c r="AF25" s="65"/>
      <c r="AG25" s="266"/>
      <c r="AH25" s="65"/>
      <c r="AI25" s="266"/>
      <c r="AJ25" s="65"/>
      <c r="AK25" s="266"/>
      <c r="AL25" s="70"/>
      <c r="AM25" s="70"/>
      <c r="AN25" s="255"/>
      <c r="AO25" s="31"/>
      <c r="AP25" s="21"/>
      <c r="AQ25" s="21"/>
      <c r="AR25" s="21"/>
    </row>
    <row r="26" spans="1:44" s="18" customFormat="1" ht="15" customHeight="1">
      <c r="A26" s="801" t="s">
        <v>734</v>
      </c>
      <c r="B26" s="824" t="s">
        <v>887</v>
      </c>
      <c r="C26" s="217"/>
      <c r="D26" s="143"/>
      <c r="E26" s="230"/>
      <c r="F26" s="238"/>
      <c r="G26" s="143"/>
      <c r="H26" s="215"/>
      <c r="I26" s="238"/>
      <c r="J26" s="143"/>
      <c r="K26" s="215"/>
      <c r="L26" s="238"/>
      <c r="M26" s="143"/>
      <c r="N26" s="230"/>
      <c r="O26" s="797"/>
      <c r="P26" s="994" t="s">
        <v>1277</v>
      </c>
      <c r="Q26" s="266"/>
      <c r="R26" s="65"/>
      <c r="S26" s="833" t="s">
        <v>1014</v>
      </c>
      <c r="T26" s="833"/>
      <c r="U26" s="133"/>
      <c r="V26" s="68"/>
      <c r="W26" s="266"/>
      <c r="X26" s="65"/>
      <c r="Y26" s="266"/>
      <c r="Z26" s="256"/>
      <c r="AA26" s="266"/>
      <c r="AB26" s="256"/>
      <c r="AC26" s="266"/>
      <c r="AD26" s="256"/>
      <c r="AE26" s="266"/>
      <c r="AF26" s="256"/>
      <c r="AG26" s="266"/>
      <c r="AH26" s="65"/>
      <c r="AI26" s="266"/>
      <c r="AJ26" s="65"/>
      <c r="AK26" s="266"/>
      <c r="AL26" s="70"/>
      <c r="AM26" s="256"/>
      <c r="AN26" s="257"/>
      <c r="AO26" s="31"/>
      <c r="AP26" s="21"/>
      <c r="AQ26" s="21"/>
      <c r="AR26" s="21"/>
    </row>
    <row r="27" spans="1:44" s="18" customFormat="1" ht="15" customHeight="1">
      <c r="A27" s="795" t="s">
        <v>735</v>
      </c>
      <c r="B27" s="824" t="s">
        <v>888</v>
      </c>
      <c r="C27" s="218"/>
      <c r="D27" s="143"/>
      <c r="E27" s="231"/>
      <c r="F27" s="239"/>
      <c r="G27" s="143"/>
      <c r="H27" s="103"/>
      <c r="I27" s="239"/>
      <c r="J27" s="143"/>
      <c r="K27" s="103"/>
      <c r="L27" s="239"/>
      <c r="M27" s="143"/>
      <c r="N27" s="231"/>
      <c r="O27" s="797"/>
      <c r="P27" s="995" t="s">
        <v>1278</v>
      </c>
      <c r="Q27" s="258"/>
      <c r="R27" s="65"/>
      <c r="S27" s="23" t="s">
        <v>880</v>
      </c>
      <c r="T27" s="833"/>
      <c r="U27" s="133"/>
      <c r="V27" s="68"/>
      <c r="W27" s="258"/>
      <c r="X27" s="65"/>
      <c r="Y27" s="258"/>
      <c r="Z27" s="65"/>
      <c r="AA27" s="258"/>
      <c r="AB27" s="65"/>
      <c r="AC27" s="258"/>
      <c r="AD27" s="65"/>
      <c r="AE27" s="258"/>
      <c r="AF27" s="65"/>
      <c r="AG27" s="258"/>
      <c r="AH27" s="65"/>
      <c r="AI27" s="258"/>
      <c r="AJ27" s="65"/>
      <c r="AK27" s="258"/>
      <c r="AL27" s="70"/>
      <c r="AM27" s="70"/>
      <c r="AN27" s="70"/>
      <c r="AO27" s="31"/>
      <c r="AP27" s="21"/>
      <c r="AQ27" s="21"/>
      <c r="AR27" s="21"/>
    </row>
    <row r="28" spans="1:44" s="18" customFormat="1" ht="15" customHeight="1">
      <c r="A28" s="795" t="s">
        <v>892</v>
      </c>
      <c r="B28" s="824" t="s">
        <v>891</v>
      </c>
      <c r="C28" s="219"/>
      <c r="D28" s="143"/>
      <c r="E28" s="228"/>
      <c r="F28" s="240"/>
      <c r="G28" s="143"/>
      <c r="H28" s="102"/>
      <c r="I28" s="240"/>
      <c r="J28" s="143"/>
      <c r="K28" s="102"/>
      <c r="L28" s="240"/>
      <c r="M28" s="143"/>
      <c r="N28" s="228"/>
      <c r="O28" s="996" t="s">
        <v>1279</v>
      </c>
      <c r="P28" s="997" t="s">
        <v>138</v>
      </c>
      <c r="Q28" s="258"/>
      <c r="R28" s="65"/>
      <c r="S28" s="833" t="s">
        <v>889</v>
      </c>
      <c r="T28" s="833"/>
      <c r="U28" s="133"/>
      <c r="V28" s="68"/>
      <c r="W28" s="258"/>
      <c r="X28" s="77"/>
      <c r="Y28" s="258"/>
      <c r="Z28" s="65"/>
      <c r="AA28" s="258"/>
      <c r="AB28" s="65"/>
      <c r="AC28" s="258"/>
      <c r="AD28" s="65"/>
      <c r="AE28" s="258"/>
      <c r="AF28" s="65"/>
      <c r="AG28" s="258"/>
      <c r="AH28" s="65"/>
      <c r="AI28" s="258"/>
      <c r="AJ28" s="65"/>
      <c r="AK28" s="258"/>
      <c r="AL28" s="70"/>
      <c r="AM28" s="70"/>
      <c r="AN28" s="259"/>
      <c r="AO28" s="31"/>
      <c r="AP28" s="21"/>
      <c r="AQ28" s="21"/>
      <c r="AR28" s="21"/>
    </row>
    <row r="29" spans="1:44" s="18" customFormat="1" ht="15" customHeight="1">
      <c r="A29" s="795" t="s">
        <v>897</v>
      </c>
      <c r="B29" s="824" t="s">
        <v>891</v>
      </c>
      <c r="C29" s="219"/>
      <c r="D29" s="143"/>
      <c r="E29" s="228"/>
      <c r="F29" s="240"/>
      <c r="G29" s="143"/>
      <c r="H29" s="102"/>
      <c r="I29" s="240"/>
      <c r="J29" s="143"/>
      <c r="K29" s="102"/>
      <c r="L29" s="240"/>
      <c r="M29" s="143"/>
      <c r="N29" s="228"/>
      <c r="O29" s="996" t="s">
        <v>1280</v>
      </c>
      <c r="P29" s="997"/>
      <c r="Q29" s="258"/>
      <c r="R29" s="65"/>
      <c r="S29" s="833" t="s">
        <v>886</v>
      </c>
      <c r="T29" s="833"/>
      <c r="U29" s="133"/>
      <c r="V29" s="68"/>
      <c r="W29" s="258"/>
      <c r="X29" s="77"/>
      <c r="Y29" s="258"/>
      <c r="Z29" s="65"/>
      <c r="AA29" s="258"/>
      <c r="AB29" s="65"/>
      <c r="AC29" s="258"/>
      <c r="AD29" s="65"/>
      <c r="AE29" s="258"/>
      <c r="AF29" s="65"/>
      <c r="AG29" s="258"/>
      <c r="AH29" s="65"/>
      <c r="AI29" s="258"/>
      <c r="AJ29" s="65"/>
      <c r="AK29" s="258"/>
      <c r="AL29" s="70"/>
      <c r="AM29" s="70"/>
      <c r="AN29" s="259"/>
      <c r="AO29" s="31"/>
      <c r="AP29" s="21"/>
      <c r="AQ29" s="21"/>
      <c r="AR29" s="21"/>
    </row>
    <row r="30" spans="1:44" s="18" customFormat="1" ht="15" customHeight="1">
      <c r="A30" s="795" t="s">
        <v>898</v>
      </c>
      <c r="B30" s="824" t="s">
        <v>891</v>
      </c>
      <c r="C30" s="219"/>
      <c r="D30" s="143"/>
      <c r="E30" s="228"/>
      <c r="F30" s="240"/>
      <c r="G30" s="143"/>
      <c r="H30" s="102"/>
      <c r="I30" s="240"/>
      <c r="J30" s="143"/>
      <c r="K30" s="102"/>
      <c r="L30" s="240"/>
      <c r="M30" s="143"/>
      <c r="N30" s="228"/>
      <c r="O30" s="996" t="s">
        <v>1281</v>
      </c>
      <c r="P30" s="997" t="s">
        <v>138</v>
      </c>
      <c r="Q30" s="258"/>
      <c r="R30" s="65"/>
      <c r="S30" s="23" t="s">
        <v>890</v>
      </c>
      <c r="T30" s="833"/>
      <c r="U30" s="133"/>
      <c r="V30" s="68"/>
      <c r="W30" s="258"/>
      <c r="X30" s="77"/>
      <c r="Y30" s="258"/>
      <c r="Z30" s="65"/>
      <c r="AA30" s="258"/>
      <c r="AB30" s="65"/>
      <c r="AC30" s="258"/>
      <c r="AD30" s="65"/>
      <c r="AE30" s="258"/>
      <c r="AF30" s="65"/>
      <c r="AG30" s="258"/>
      <c r="AH30" s="65"/>
      <c r="AI30" s="258"/>
      <c r="AJ30" s="65"/>
      <c r="AK30" s="258"/>
      <c r="AL30" s="70"/>
      <c r="AM30" s="70"/>
      <c r="AN30" s="259"/>
      <c r="AO30" s="31"/>
      <c r="AP30" s="21"/>
      <c r="AQ30" s="21"/>
      <c r="AR30" s="21"/>
    </row>
    <row r="31" spans="1:44" s="18" customFormat="1" ht="15" customHeight="1">
      <c r="A31" s="795" t="s">
        <v>899</v>
      </c>
      <c r="B31" s="824" t="s">
        <v>891</v>
      </c>
      <c r="C31" s="219"/>
      <c r="D31" s="143"/>
      <c r="E31" s="228"/>
      <c r="F31" s="240"/>
      <c r="G31" s="143"/>
      <c r="H31" s="102"/>
      <c r="I31" s="240"/>
      <c r="J31" s="143"/>
      <c r="K31" s="102"/>
      <c r="L31" s="240"/>
      <c r="M31" s="143"/>
      <c r="N31" s="228"/>
      <c r="O31" s="996" t="s">
        <v>1282</v>
      </c>
      <c r="P31" s="997"/>
      <c r="Q31" s="258"/>
      <c r="R31" s="65"/>
      <c r="S31" s="23" t="s">
        <v>881</v>
      </c>
      <c r="T31" s="833"/>
      <c r="U31" s="133"/>
      <c r="V31" s="68"/>
      <c r="W31" s="258"/>
      <c r="X31" s="65"/>
      <c r="Y31" s="258"/>
      <c r="Z31" s="257"/>
      <c r="AA31" s="258"/>
      <c r="AB31" s="257"/>
      <c r="AC31" s="258"/>
      <c r="AD31" s="257"/>
      <c r="AE31" s="258"/>
      <c r="AF31" s="257"/>
      <c r="AG31" s="258"/>
      <c r="AH31" s="257"/>
      <c r="AI31" s="258"/>
      <c r="AJ31" s="257"/>
      <c r="AK31" s="258"/>
      <c r="AL31" s="70"/>
      <c r="AM31" s="70"/>
      <c r="AN31" s="259"/>
      <c r="AO31" s="31"/>
      <c r="AP31" s="21"/>
      <c r="AQ31" s="21"/>
      <c r="AR31" s="21"/>
    </row>
    <row r="32" spans="1:44" s="18" customFormat="1" ht="15" customHeight="1">
      <c r="A32" s="795" t="s">
        <v>736</v>
      </c>
      <c r="B32" s="824" t="s">
        <v>891</v>
      </c>
      <c r="C32" s="219"/>
      <c r="D32" s="143"/>
      <c r="E32" s="228"/>
      <c r="F32" s="240"/>
      <c r="G32" s="143"/>
      <c r="H32" s="102"/>
      <c r="I32" s="240"/>
      <c r="J32" s="143"/>
      <c r="K32" s="102"/>
      <c r="L32" s="240"/>
      <c r="M32" s="143"/>
      <c r="N32" s="228"/>
      <c r="O32" s="996" t="s">
        <v>1283</v>
      </c>
      <c r="P32" s="997"/>
      <c r="Q32" s="258"/>
      <c r="R32" s="65"/>
      <c r="S32" s="23" t="s">
        <v>891</v>
      </c>
      <c r="T32" s="833"/>
      <c r="U32" s="133"/>
      <c r="V32" s="68"/>
      <c r="W32" s="258"/>
      <c r="X32" s="65"/>
      <c r="Y32" s="258"/>
      <c r="Z32" s="65"/>
      <c r="AA32" s="258"/>
      <c r="AB32" s="65"/>
      <c r="AC32" s="258"/>
      <c r="AD32" s="65"/>
      <c r="AE32" s="258"/>
      <c r="AF32" s="65"/>
      <c r="AG32" s="258"/>
      <c r="AH32" s="65"/>
      <c r="AI32" s="258"/>
      <c r="AJ32" s="65"/>
      <c r="AK32" s="258"/>
      <c r="AL32" s="70"/>
      <c r="AM32" s="70"/>
      <c r="AN32" s="259"/>
      <c r="AO32" s="31"/>
      <c r="AP32" s="21"/>
      <c r="AQ32" s="21"/>
      <c r="AR32" s="21"/>
    </row>
    <row r="33" spans="1:44" s="18" customFormat="1" ht="15" customHeight="1">
      <c r="A33" s="795" t="s">
        <v>738</v>
      </c>
      <c r="B33" s="824" t="s">
        <v>880</v>
      </c>
      <c r="C33" s="219"/>
      <c r="D33" s="143"/>
      <c r="E33" s="228"/>
      <c r="F33" s="240"/>
      <c r="G33" s="143"/>
      <c r="H33" s="102"/>
      <c r="I33" s="240"/>
      <c r="J33" s="143"/>
      <c r="K33" s="102"/>
      <c r="L33" s="240"/>
      <c r="M33" s="143"/>
      <c r="N33" s="228"/>
      <c r="O33" s="996" t="s">
        <v>1284</v>
      </c>
      <c r="P33" s="997"/>
      <c r="Q33" s="258"/>
      <c r="R33" s="65"/>
      <c r="S33" s="23" t="s">
        <v>882</v>
      </c>
      <c r="T33" s="833"/>
      <c r="U33" s="133"/>
      <c r="V33" s="68"/>
      <c r="W33" s="258"/>
      <c r="X33" s="65"/>
      <c r="Y33" s="258"/>
      <c r="Z33" s="65"/>
      <c r="AA33" s="258"/>
      <c r="AB33" s="65"/>
      <c r="AC33" s="258"/>
      <c r="AD33" s="65"/>
      <c r="AE33" s="258"/>
      <c r="AF33" s="65"/>
      <c r="AG33" s="258"/>
      <c r="AH33" s="65"/>
      <c r="AI33" s="258"/>
      <c r="AJ33" s="65"/>
      <c r="AK33" s="258"/>
      <c r="AL33" s="70"/>
      <c r="AM33" s="70"/>
      <c r="AN33" s="259"/>
      <c r="AO33" s="31"/>
      <c r="AP33" s="21"/>
      <c r="AQ33" s="21"/>
      <c r="AR33" s="21"/>
    </row>
    <row r="34" spans="1:44" s="18" customFormat="1" ht="15" customHeight="1">
      <c r="A34" s="795" t="s">
        <v>739</v>
      </c>
      <c r="B34" s="824" t="s">
        <v>880</v>
      </c>
      <c r="C34" s="219"/>
      <c r="D34" s="143"/>
      <c r="E34" s="228"/>
      <c r="F34" s="240"/>
      <c r="G34" s="143"/>
      <c r="H34" s="102"/>
      <c r="I34" s="240"/>
      <c r="J34" s="143"/>
      <c r="K34" s="102"/>
      <c r="L34" s="240"/>
      <c r="M34" s="143"/>
      <c r="N34" s="228"/>
      <c r="O34" s="996" t="s">
        <v>1285</v>
      </c>
      <c r="P34" s="997"/>
      <c r="Q34" s="258"/>
      <c r="R34" s="65"/>
      <c r="S34" s="23" t="s">
        <v>883</v>
      </c>
      <c r="T34" s="833"/>
      <c r="U34" s="133"/>
      <c r="V34" s="68"/>
      <c r="W34" s="258"/>
      <c r="X34" s="65"/>
      <c r="Y34" s="258"/>
      <c r="Z34" s="65"/>
      <c r="AA34" s="258"/>
      <c r="AB34" s="65"/>
      <c r="AC34" s="258"/>
      <c r="AD34" s="65"/>
      <c r="AE34" s="258"/>
      <c r="AF34" s="65"/>
      <c r="AG34" s="258"/>
      <c r="AH34" s="65"/>
      <c r="AI34" s="258"/>
      <c r="AJ34" s="65"/>
      <c r="AK34" s="258"/>
      <c r="AL34" s="70"/>
      <c r="AM34" s="70"/>
      <c r="AN34" s="259"/>
      <c r="AO34" s="31"/>
      <c r="AP34" s="21"/>
      <c r="AQ34" s="21"/>
      <c r="AR34" s="21"/>
    </row>
    <row r="35" spans="1:44" s="18" customFormat="1" ht="15" customHeight="1">
      <c r="A35" s="795" t="s">
        <v>741</v>
      </c>
      <c r="B35" s="824" t="s">
        <v>880</v>
      </c>
      <c r="C35" s="219"/>
      <c r="D35" s="143"/>
      <c r="E35" s="228"/>
      <c r="F35" s="240"/>
      <c r="G35" s="143"/>
      <c r="H35" s="102"/>
      <c r="I35" s="240"/>
      <c r="J35" s="143"/>
      <c r="K35" s="102"/>
      <c r="L35" s="240"/>
      <c r="M35" s="143"/>
      <c r="N35" s="228"/>
      <c r="O35" s="996" t="s">
        <v>1286</v>
      </c>
      <c r="P35" s="997"/>
      <c r="Q35" s="267"/>
      <c r="R35" s="65"/>
      <c r="S35" s="23" t="s">
        <v>884</v>
      </c>
      <c r="T35" s="833"/>
      <c r="U35" s="133"/>
      <c r="V35" s="68"/>
      <c r="W35" s="258"/>
      <c r="X35" s="65"/>
      <c r="Y35" s="258"/>
      <c r="Z35" s="65"/>
      <c r="AA35" s="258"/>
      <c r="AB35" s="65"/>
      <c r="AC35" s="258"/>
      <c r="AD35" s="65"/>
      <c r="AE35" s="258"/>
      <c r="AF35" s="65"/>
      <c r="AG35" s="258"/>
      <c r="AH35" s="65"/>
      <c r="AI35" s="258"/>
      <c r="AJ35" s="65"/>
      <c r="AK35" s="258"/>
      <c r="AL35" s="70"/>
      <c r="AM35" s="70"/>
      <c r="AN35" s="259"/>
      <c r="AO35" s="31"/>
      <c r="AP35" s="21"/>
      <c r="AQ35" s="21"/>
      <c r="AR35" s="21"/>
    </row>
    <row r="36" spans="1:44" s="18" customFormat="1" ht="15" customHeight="1">
      <c r="A36" s="795" t="s">
        <v>742</v>
      </c>
      <c r="B36" s="824" t="s">
        <v>880</v>
      </c>
      <c r="C36" s="219"/>
      <c r="D36" s="143"/>
      <c r="E36" s="228"/>
      <c r="F36" s="240"/>
      <c r="G36" s="143"/>
      <c r="H36" s="102"/>
      <c r="I36" s="240"/>
      <c r="J36" s="143"/>
      <c r="K36" s="102"/>
      <c r="L36" s="240"/>
      <c r="M36" s="143"/>
      <c r="N36" s="228"/>
      <c r="O36" s="996" t="s">
        <v>1287</v>
      </c>
      <c r="P36" s="997"/>
      <c r="Q36" s="267"/>
      <c r="R36" s="65"/>
      <c r="S36" s="23" t="s">
        <v>885</v>
      </c>
      <c r="T36" s="833"/>
      <c r="U36" s="133"/>
      <c r="V36" s="68"/>
      <c r="W36" s="258"/>
      <c r="X36" s="65"/>
      <c r="Y36" s="258"/>
      <c r="Z36" s="65"/>
      <c r="AA36" s="258"/>
      <c r="AB36" s="65"/>
      <c r="AC36" s="258"/>
      <c r="AD36" s="65"/>
      <c r="AE36" s="258"/>
      <c r="AF36" s="65"/>
      <c r="AG36" s="258"/>
      <c r="AH36" s="65"/>
      <c r="AI36" s="258"/>
      <c r="AJ36" s="65"/>
      <c r="AK36" s="258"/>
      <c r="AL36" s="70"/>
      <c r="AM36" s="70"/>
      <c r="AN36" s="259"/>
      <c r="AO36" s="31"/>
      <c r="AP36" s="21"/>
      <c r="AQ36" s="21"/>
      <c r="AR36" s="21"/>
    </row>
    <row r="37" spans="1:44" s="18" customFormat="1" ht="15" customHeight="1">
      <c r="A37" s="795" t="s">
        <v>740</v>
      </c>
      <c r="B37" s="824" t="s">
        <v>880</v>
      </c>
      <c r="C37" s="219"/>
      <c r="D37" s="143"/>
      <c r="E37" s="228"/>
      <c r="F37" s="240"/>
      <c r="G37" s="143"/>
      <c r="H37" s="102"/>
      <c r="I37" s="240"/>
      <c r="J37" s="143"/>
      <c r="K37" s="102"/>
      <c r="L37" s="240"/>
      <c r="M37" s="143"/>
      <c r="N37" s="228"/>
      <c r="O37" s="996" t="s">
        <v>1288</v>
      </c>
      <c r="P37" s="997"/>
      <c r="Q37" s="266"/>
      <c r="R37" s="65"/>
      <c r="S37" s="23" t="s">
        <v>111</v>
      </c>
      <c r="T37" s="833"/>
      <c r="U37" s="133"/>
      <c r="V37" s="68"/>
      <c r="W37" s="258"/>
      <c r="X37" s="65"/>
      <c r="Y37" s="258"/>
      <c r="Z37" s="65"/>
      <c r="AA37" s="258"/>
      <c r="AB37" s="65"/>
      <c r="AC37" s="258"/>
      <c r="AD37" s="65"/>
      <c r="AE37" s="258"/>
      <c r="AF37" s="65"/>
      <c r="AG37" s="258"/>
      <c r="AH37" s="65"/>
      <c r="AI37" s="258"/>
      <c r="AJ37" s="65"/>
      <c r="AK37" s="258"/>
      <c r="AL37" s="70"/>
      <c r="AM37" s="70"/>
      <c r="AN37" s="259"/>
      <c r="AO37" s="31"/>
      <c r="AP37" s="21"/>
      <c r="AQ37" s="21"/>
      <c r="AR37" s="21"/>
    </row>
    <row r="38" spans="1:45" s="18" customFormat="1" ht="15" customHeight="1">
      <c r="A38" s="795" t="s">
        <v>1231</v>
      </c>
      <c r="B38" s="824" t="s">
        <v>891</v>
      </c>
      <c r="C38" s="219"/>
      <c r="D38" s="143"/>
      <c r="E38" s="228"/>
      <c r="F38" s="240"/>
      <c r="G38" s="143"/>
      <c r="H38" s="102"/>
      <c r="I38" s="240"/>
      <c r="J38" s="143"/>
      <c r="K38" s="102"/>
      <c r="L38" s="240"/>
      <c r="M38" s="143"/>
      <c r="N38" s="228"/>
      <c r="O38" s="996" t="s">
        <v>1289</v>
      </c>
      <c r="P38" s="19"/>
      <c r="Q38" s="264"/>
      <c r="R38" s="65"/>
      <c r="S38" s="833" t="s">
        <v>839</v>
      </c>
      <c r="T38" s="833"/>
      <c r="U38" s="133"/>
      <c r="V38" s="68"/>
      <c r="W38" s="266"/>
      <c r="X38" s="77"/>
      <c r="Y38" s="266"/>
      <c r="Z38" s="77"/>
      <c r="AA38" s="266"/>
      <c r="AB38" s="77"/>
      <c r="AC38" s="266"/>
      <c r="AD38" s="77"/>
      <c r="AE38" s="266"/>
      <c r="AF38" s="77"/>
      <c r="AG38" s="266"/>
      <c r="AH38" s="77"/>
      <c r="AI38" s="266"/>
      <c r="AJ38" s="77"/>
      <c r="AK38" s="266"/>
      <c r="AL38" s="70"/>
      <c r="AM38" s="70"/>
      <c r="AN38" s="260"/>
      <c r="AO38" s="31"/>
      <c r="AP38" s="21"/>
      <c r="AQ38" s="21"/>
      <c r="AR38" s="21"/>
      <c r="AS38" s="21"/>
    </row>
    <row r="39" spans="1:45" s="18" customFormat="1" ht="15" customHeight="1">
      <c r="A39" s="795" t="s">
        <v>737</v>
      </c>
      <c r="B39" s="824" t="s">
        <v>890</v>
      </c>
      <c r="C39" s="219"/>
      <c r="D39" s="143"/>
      <c r="E39" s="228"/>
      <c r="F39" s="240"/>
      <c r="G39" s="143"/>
      <c r="H39" s="102"/>
      <c r="I39" s="240"/>
      <c r="J39" s="143"/>
      <c r="K39" s="102"/>
      <c r="L39" s="240"/>
      <c r="M39" s="143"/>
      <c r="N39" s="228"/>
      <c r="O39" s="996" t="s">
        <v>1290</v>
      </c>
      <c r="P39" s="19"/>
      <c r="Q39" s="258"/>
      <c r="R39" s="77"/>
      <c r="S39" s="833" t="s">
        <v>840</v>
      </c>
      <c r="T39" s="833"/>
      <c r="U39" s="133"/>
      <c r="V39" s="68"/>
      <c r="W39" s="266"/>
      <c r="X39" s="77"/>
      <c r="Y39" s="266"/>
      <c r="Z39" s="77"/>
      <c r="AA39" s="266"/>
      <c r="AB39" s="77"/>
      <c r="AC39" s="266"/>
      <c r="AD39" s="77"/>
      <c r="AE39" s="266"/>
      <c r="AF39" s="77"/>
      <c r="AG39" s="266"/>
      <c r="AH39" s="77"/>
      <c r="AI39" s="266"/>
      <c r="AJ39" s="77"/>
      <c r="AK39" s="266"/>
      <c r="AL39" s="70"/>
      <c r="AM39" s="70"/>
      <c r="AN39" s="260"/>
      <c r="AO39" s="31"/>
      <c r="AP39" s="21"/>
      <c r="AQ39" s="21"/>
      <c r="AR39" s="21"/>
      <c r="AS39" s="21"/>
    </row>
    <row r="40" spans="1:45" s="18" customFormat="1" ht="15" customHeight="1">
      <c r="A40" s="823"/>
      <c r="B40" s="825"/>
      <c r="C40" s="219"/>
      <c r="D40" s="143"/>
      <c r="E40" s="228"/>
      <c r="F40" s="240"/>
      <c r="G40" s="143"/>
      <c r="H40" s="102"/>
      <c r="I40" s="240"/>
      <c r="J40" s="143"/>
      <c r="K40" s="102"/>
      <c r="L40" s="240"/>
      <c r="M40" s="143"/>
      <c r="N40" s="228"/>
      <c r="O40" s="794" t="s">
        <v>902</v>
      </c>
      <c r="P40" s="804"/>
      <c r="R40" s="77"/>
      <c r="S40" s="833" t="s">
        <v>841</v>
      </c>
      <c r="T40" s="833"/>
      <c r="U40" s="133"/>
      <c r="V40" s="68"/>
      <c r="W40" s="267"/>
      <c r="X40" s="77"/>
      <c r="Y40" s="267"/>
      <c r="Z40" s="77"/>
      <c r="AA40" s="267"/>
      <c r="AB40" s="77"/>
      <c r="AC40" s="267"/>
      <c r="AD40" s="77"/>
      <c r="AE40" s="267"/>
      <c r="AF40" s="77"/>
      <c r="AG40" s="267"/>
      <c r="AH40" s="77"/>
      <c r="AI40" s="267"/>
      <c r="AJ40" s="77"/>
      <c r="AK40" s="267"/>
      <c r="AL40" s="70"/>
      <c r="AM40" s="70"/>
      <c r="AN40" s="260"/>
      <c r="AO40" s="31"/>
      <c r="AP40" s="21"/>
      <c r="AQ40" s="21"/>
      <c r="AR40" s="21"/>
      <c r="AS40" s="21"/>
    </row>
    <row r="41" spans="1:45" s="18" customFormat="1" ht="15" customHeight="1">
      <c r="A41" s="823"/>
      <c r="B41" s="825"/>
      <c r="C41" s="219"/>
      <c r="D41" s="143"/>
      <c r="E41" s="228"/>
      <c r="F41" s="240"/>
      <c r="G41" s="143"/>
      <c r="H41" s="102"/>
      <c r="I41" s="240"/>
      <c r="J41" s="143"/>
      <c r="K41" s="102"/>
      <c r="L41" s="240"/>
      <c r="M41" s="143"/>
      <c r="N41" s="228"/>
      <c r="O41" s="805">
        <f>IF($B$4="","",$B$4)</f>
      </c>
      <c r="P41" s="832" t="s">
        <v>882</v>
      </c>
      <c r="S41" s="833" t="s">
        <v>842</v>
      </c>
      <c r="T41" s="833"/>
      <c r="U41" s="133"/>
      <c r="V41" s="68"/>
      <c r="W41" s="267"/>
      <c r="X41" s="65"/>
      <c r="Y41" s="267"/>
      <c r="Z41" s="65"/>
      <c r="AA41" s="267"/>
      <c r="AB41" s="65"/>
      <c r="AC41" s="267"/>
      <c r="AD41" s="65"/>
      <c r="AE41" s="267"/>
      <c r="AF41" s="65"/>
      <c r="AG41" s="267"/>
      <c r="AH41" s="65"/>
      <c r="AI41" s="267"/>
      <c r="AJ41" s="65"/>
      <c r="AK41" s="267"/>
      <c r="AL41" s="70"/>
      <c r="AM41" s="70"/>
      <c r="AN41" s="248"/>
      <c r="AO41" s="31"/>
      <c r="AP41" s="21"/>
      <c r="AQ41" s="21"/>
      <c r="AR41" s="21"/>
      <c r="AS41" s="21"/>
    </row>
    <row r="42" spans="1:45" s="18" customFormat="1" ht="15" customHeight="1">
      <c r="A42" s="823"/>
      <c r="B42" s="825"/>
      <c r="C42" s="219"/>
      <c r="D42" s="143"/>
      <c r="E42" s="228"/>
      <c r="F42" s="240"/>
      <c r="G42" s="143"/>
      <c r="H42" s="102"/>
      <c r="I42" s="240"/>
      <c r="J42" s="143"/>
      <c r="K42" s="102"/>
      <c r="L42" s="240"/>
      <c r="M42" s="143"/>
      <c r="N42" s="228"/>
      <c r="O42" s="802"/>
      <c r="P42" s="803"/>
      <c r="S42" s="833" t="s">
        <v>843</v>
      </c>
      <c r="T42" s="833"/>
      <c r="U42" s="133"/>
      <c r="V42" s="68"/>
      <c r="W42" s="264"/>
      <c r="X42" s="65"/>
      <c r="Y42" s="264"/>
      <c r="Z42" s="65"/>
      <c r="AA42" s="264"/>
      <c r="AB42" s="65"/>
      <c r="AC42" s="264"/>
      <c r="AD42" s="65"/>
      <c r="AE42" s="264"/>
      <c r="AF42" s="65"/>
      <c r="AG42" s="264"/>
      <c r="AH42" s="65"/>
      <c r="AI42" s="264"/>
      <c r="AJ42" s="65"/>
      <c r="AK42" s="264"/>
      <c r="AL42" s="70"/>
      <c r="AM42" s="70"/>
      <c r="AN42" s="248"/>
      <c r="AO42" s="31"/>
      <c r="AP42" s="21"/>
      <c r="AQ42" s="21"/>
      <c r="AR42" s="21"/>
      <c r="AS42" s="21"/>
    </row>
    <row r="43" spans="1:45" s="18" customFormat="1" ht="15" customHeight="1">
      <c r="A43" s="823"/>
      <c r="B43" s="825"/>
      <c r="C43" s="219"/>
      <c r="D43" s="143"/>
      <c r="E43" s="228"/>
      <c r="F43" s="240"/>
      <c r="G43" s="143"/>
      <c r="H43" s="102"/>
      <c r="I43" s="240"/>
      <c r="J43" s="143"/>
      <c r="K43" s="102"/>
      <c r="L43" s="240"/>
      <c r="M43" s="143"/>
      <c r="N43" s="228"/>
      <c r="O43" s="794" t="s">
        <v>904</v>
      </c>
      <c r="P43" s="806"/>
      <c r="S43" s="833" t="s">
        <v>844</v>
      </c>
      <c r="T43" s="833"/>
      <c r="U43" s="133"/>
      <c r="V43" s="68"/>
      <c r="W43" s="89"/>
      <c r="X43" s="261"/>
      <c r="Y43" s="89"/>
      <c r="Z43" s="261"/>
      <c r="AA43" s="89"/>
      <c r="AB43" s="261"/>
      <c r="AC43" s="89"/>
      <c r="AD43" s="261"/>
      <c r="AE43" s="89"/>
      <c r="AF43" s="261"/>
      <c r="AG43" s="89"/>
      <c r="AH43" s="261"/>
      <c r="AI43" s="89"/>
      <c r="AJ43" s="261"/>
      <c r="AK43" s="89"/>
      <c r="AL43" s="262"/>
      <c r="AM43" s="70"/>
      <c r="AN43" s="255"/>
      <c r="AO43" s="31"/>
      <c r="AP43" s="21"/>
      <c r="AQ43" s="21"/>
      <c r="AR43" s="21"/>
      <c r="AS43" s="21"/>
    </row>
    <row r="44" spans="1:45" s="18" customFormat="1" ht="15" customHeight="1">
      <c r="A44" s="823"/>
      <c r="B44" s="825"/>
      <c r="C44" s="219"/>
      <c r="D44" s="143"/>
      <c r="E44" s="228"/>
      <c r="F44" s="240"/>
      <c r="G44" s="143"/>
      <c r="H44" s="102"/>
      <c r="I44" s="240"/>
      <c r="J44" s="143"/>
      <c r="K44" s="102"/>
      <c r="L44" s="240"/>
      <c r="M44" s="143"/>
      <c r="N44" s="228"/>
      <c r="O44" s="805">
        <f>IF($B$5="","",$B$5)</f>
      </c>
      <c r="P44" s="832" t="s">
        <v>111</v>
      </c>
      <c r="S44" s="833" t="s">
        <v>845</v>
      </c>
      <c r="T44" s="833"/>
      <c r="U44" s="133"/>
      <c r="V44" s="68"/>
      <c r="W44" s="131"/>
      <c r="X44" s="70"/>
      <c r="Y44" s="131"/>
      <c r="Z44" s="70"/>
      <c r="AA44" s="131"/>
      <c r="AB44" s="70"/>
      <c r="AC44" s="131"/>
      <c r="AD44" s="70"/>
      <c r="AE44" s="131"/>
      <c r="AF44" s="70"/>
      <c r="AG44" s="131"/>
      <c r="AH44" s="70"/>
      <c r="AI44" s="131"/>
      <c r="AJ44" s="70"/>
      <c r="AK44" s="131"/>
      <c r="AL44" s="70"/>
      <c r="AM44" s="70"/>
      <c r="AN44" s="255"/>
      <c r="AO44" s="31"/>
      <c r="AP44" s="21"/>
      <c r="AQ44" s="21"/>
      <c r="AR44" s="21"/>
      <c r="AS44" s="21"/>
    </row>
    <row r="45" spans="1:45" s="18" customFormat="1" ht="15" customHeight="1">
      <c r="A45" s="823"/>
      <c r="B45" s="825"/>
      <c r="C45" s="219"/>
      <c r="D45" s="143"/>
      <c r="E45" s="228"/>
      <c r="F45" s="240"/>
      <c r="G45" s="143"/>
      <c r="H45" s="102"/>
      <c r="I45" s="240"/>
      <c r="J45" s="143"/>
      <c r="K45" s="102"/>
      <c r="L45" s="240"/>
      <c r="M45" s="143"/>
      <c r="N45" s="228"/>
      <c r="O45" s="794" t="s">
        <v>905</v>
      </c>
      <c r="P45" s="806"/>
      <c r="S45" s="833" t="s">
        <v>846</v>
      </c>
      <c r="T45" s="833"/>
      <c r="U45" s="133"/>
      <c r="V45" s="68"/>
      <c r="W45" s="263"/>
      <c r="X45" s="70"/>
      <c r="Y45" s="263"/>
      <c r="Z45" s="70"/>
      <c r="AA45" s="263"/>
      <c r="AB45" s="70"/>
      <c r="AC45" s="263"/>
      <c r="AD45" s="70"/>
      <c r="AE45" s="263"/>
      <c r="AF45" s="70"/>
      <c r="AG45" s="263"/>
      <c r="AH45" s="70"/>
      <c r="AI45" s="263"/>
      <c r="AJ45" s="70"/>
      <c r="AK45" s="263"/>
      <c r="AL45" s="70"/>
      <c r="AM45" s="70"/>
      <c r="AN45" s="255"/>
      <c r="AO45" s="31"/>
      <c r="AP45" s="21"/>
      <c r="AQ45" s="21"/>
      <c r="AR45" s="21"/>
      <c r="AS45" s="21"/>
    </row>
    <row r="46" spans="1:45" s="18" customFormat="1" ht="15" customHeight="1" thickBot="1">
      <c r="A46" s="823"/>
      <c r="B46" s="825"/>
      <c r="C46" s="220"/>
      <c r="D46" s="225"/>
      <c r="E46" s="229"/>
      <c r="F46" s="241"/>
      <c r="G46" s="225"/>
      <c r="H46" s="104"/>
      <c r="I46" s="241"/>
      <c r="J46" s="225"/>
      <c r="K46" s="104"/>
      <c r="L46" s="241"/>
      <c r="M46" s="225"/>
      <c r="N46" s="229"/>
      <c r="O46" s="809">
        <f>IF($B$6="","",$B$6)</f>
      </c>
      <c r="P46" s="832" t="s">
        <v>111</v>
      </c>
      <c r="S46" s="833" t="s">
        <v>847</v>
      </c>
      <c r="T46" s="833"/>
      <c r="U46" s="133"/>
      <c r="V46" s="68"/>
      <c r="W46" s="267"/>
      <c r="X46" s="65"/>
      <c r="Y46" s="267"/>
      <c r="Z46" s="65"/>
      <c r="AA46" s="267"/>
      <c r="AB46" s="65"/>
      <c r="AC46" s="267"/>
      <c r="AD46" s="65"/>
      <c r="AE46" s="267"/>
      <c r="AF46" s="65"/>
      <c r="AG46" s="267"/>
      <c r="AH46" s="65"/>
      <c r="AI46" s="267"/>
      <c r="AJ46" s="65"/>
      <c r="AK46" s="267"/>
      <c r="AL46" s="70"/>
      <c r="AM46" s="70"/>
      <c r="AN46" s="255"/>
      <c r="AO46" s="31"/>
      <c r="AP46" s="21"/>
      <c r="AQ46" s="21"/>
      <c r="AR46" s="21"/>
      <c r="AS46" s="21"/>
    </row>
    <row r="47" spans="1:45" s="18" customFormat="1" ht="15" customHeight="1">
      <c r="A47" s="807" t="s">
        <v>851</v>
      </c>
      <c r="B47" s="826" t="s">
        <v>882</v>
      </c>
      <c r="C47" s="271"/>
      <c r="D47" s="272"/>
      <c r="E47" s="273"/>
      <c r="F47" s="274"/>
      <c r="G47" s="272"/>
      <c r="H47" s="275"/>
      <c r="I47" s="274"/>
      <c r="J47" s="272"/>
      <c r="K47" s="275"/>
      <c r="L47" s="274"/>
      <c r="M47" s="272"/>
      <c r="N47" s="273"/>
      <c r="O47" s="818"/>
      <c r="P47" s="998"/>
      <c r="Q47" s="89"/>
      <c r="R47" s="261"/>
      <c r="S47" s="833" t="s">
        <v>848</v>
      </c>
      <c r="T47" s="833"/>
      <c r="U47" s="133"/>
      <c r="V47" s="68"/>
      <c r="W47" s="264"/>
      <c r="X47" s="65"/>
      <c r="Y47" s="264"/>
      <c r="Z47" s="65"/>
      <c r="AA47" s="264"/>
      <c r="AB47" s="65"/>
      <c r="AC47" s="264"/>
      <c r="AD47" s="65"/>
      <c r="AE47" s="264"/>
      <c r="AF47" s="65"/>
      <c r="AG47" s="264"/>
      <c r="AH47" s="65"/>
      <c r="AI47" s="264"/>
      <c r="AJ47" s="65"/>
      <c r="AK47" s="264"/>
      <c r="AL47" s="70"/>
      <c r="AM47" s="70"/>
      <c r="AN47" s="255"/>
      <c r="AO47" s="31"/>
      <c r="AP47" s="21"/>
      <c r="AQ47" s="21"/>
      <c r="AR47" s="21"/>
      <c r="AS47" s="21"/>
    </row>
    <row r="48" spans="1:45" s="18" customFormat="1" ht="15" customHeight="1" thickBot="1">
      <c r="A48" s="808" t="s">
        <v>850</v>
      </c>
      <c r="B48" s="827" t="s">
        <v>111</v>
      </c>
      <c r="C48" s="276"/>
      <c r="D48" s="277"/>
      <c r="E48" s="278"/>
      <c r="F48" s="279"/>
      <c r="G48" s="277"/>
      <c r="H48" s="280"/>
      <c r="I48" s="279"/>
      <c r="J48" s="277"/>
      <c r="K48" s="280"/>
      <c r="L48" s="279"/>
      <c r="M48" s="277"/>
      <c r="N48" s="278"/>
      <c r="O48" s="794" t="s">
        <v>823</v>
      </c>
      <c r="P48" s="806"/>
      <c r="Q48" s="108"/>
      <c r="R48" s="65"/>
      <c r="U48" s="133"/>
      <c r="V48" s="68"/>
      <c r="W48" s="89"/>
      <c r="X48" s="261"/>
      <c r="Y48" s="89"/>
      <c r="Z48" s="261"/>
      <c r="AA48" s="89"/>
      <c r="AB48" s="261"/>
      <c r="AC48" s="89"/>
      <c r="AD48" s="261"/>
      <c r="AE48" s="89"/>
      <c r="AF48" s="261"/>
      <c r="AG48" s="89"/>
      <c r="AH48" s="261"/>
      <c r="AI48" s="89"/>
      <c r="AJ48" s="261"/>
      <c r="AK48" s="89"/>
      <c r="AL48" s="262"/>
      <c r="AM48" s="70"/>
      <c r="AN48" s="255"/>
      <c r="AO48" s="31"/>
      <c r="AP48" s="21"/>
      <c r="AQ48" s="21"/>
      <c r="AR48" s="21"/>
      <c r="AS48" s="21"/>
    </row>
    <row r="49" spans="1:45" s="18" customFormat="1" ht="15" customHeight="1">
      <c r="A49" s="795" t="s">
        <v>54</v>
      </c>
      <c r="B49" s="810"/>
      <c r="C49" s="811"/>
      <c r="D49" s="812"/>
      <c r="E49" s="813" t="s">
        <v>910</v>
      </c>
      <c r="F49" s="814"/>
      <c r="G49" s="812"/>
      <c r="H49" s="813" t="s">
        <v>910</v>
      </c>
      <c r="I49" s="814"/>
      <c r="J49" s="812"/>
      <c r="K49" s="813" t="s">
        <v>910</v>
      </c>
      <c r="L49" s="814"/>
      <c r="M49" s="812"/>
      <c r="N49" s="813" t="s">
        <v>910</v>
      </c>
      <c r="O49" s="815">
        <f>IF($B$7="","",$B$7)</f>
      </c>
      <c r="P49" s="832" t="s">
        <v>883</v>
      </c>
      <c r="Q49" s="267"/>
      <c r="R49" s="77"/>
      <c r="U49" s="133"/>
      <c r="V49" s="68"/>
      <c r="W49" s="131"/>
      <c r="X49" s="70"/>
      <c r="Y49" s="131"/>
      <c r="Z49" s="70"/>
      <c r="AA49" s="131"/>
      <c r="AB49" s="70"/>
      <c r="AC49" s="131"/>
      <c r="AD49" s="70"/>
      <c r="AE49" s="131"/>
      <c r="AF49" s="70"/>
      <c r="AG49" s="131"/>
      <c r="AH49" s="70"/>
      <c r="AI49" s="131"/>
      <c r="AJ49" s="70"/>
      <c r="AK49" s="131"/>
      <c r="AL49" s="70"/>
      <c r="AM49" s="70"/>
      <c r="AN49" s="255"/>
      <c r="AO49" s="31"/>
      <c r="AP49" s="21"/>
      <c r="AQ49" s="21"/>
      <c r="AR49" s="21"/>
      <c r="AS49" s="21"/>
    </row>
    <row r="50" spans="1:45" s="18" customFormat="1" ht="15" customHeight="1">
      <c r="A50" s="795" t="s">
        <v>852</v>
      </c>
      <c r="B50" s="824" t="s">
        <v>883</v>
      </c>
      <c r="C50" s="221"/>
      <c r="D50" s="828"/>
      <c r="E50" s="232"/>
      <c r="F50" s="242"/>
      <c r="G50" s="828"/>
      <c r="H50" s="105"/>
      <c r="I50" s="242"/>
      <c r="J50" s="828"/>
      <c r="K50" s="105"/>
      <c r="L50" s="242"/>
      <c r="M50" s="828"/>
      <c r="N50" s="232"/>
      <c r="O50" s="794" t="s">
        <v>824</v>
      </c>
      <c r="P50" s="806"/>
      <c r="Q50" s="267"/>
      <c r="R50" s="65"/>
      <c r="U50" s="133"/>
      <c r="V50" s="68"/>
      <c r="W50" s="263"/>
      <c r="X50" s="70"/>
      <c r="Y50" s="263"/>
      <c r="Z50" s="70"/>
      <c r="AA50" s="263"/>
      <c r="AB50" s="70"/>
      <c r="AC50" s="263"/>
      <c r="AD50" s="70"/>
      <c r="AE50" s="263"/>
      <c r="AF50" s="70"/>
      <c r="AG50" s="263"/>
      <c r="AH50" s="70"/>
      <c r="AI50" s="263"/>
      <c r="AJ50" s="70"/>
      <c r="AK50" s="263"/>
      <c r="AL50" s="70"/>
      <c r="AM50" s="70"/>
      <c r="AN50" s="255"/>
      <c r="AO50" s="31"/>
      <c r="AP50" s="21"/>
      <c r="AQ50" s="21"/>
      <c r="AR50" s="21"/>
      <c r="AS50" s="21"/>
    </row>
    <row r="51" spans="1:45" s="18" customFormat="1" ht="15" customHeight="1">
      <c r="A51" s="795" t="s">
        <v>867</v>
      </c>
      <c r="B51" s="270"/>
      <c r="C51" s="222"/>
      <c r="D51" s="143"/>
      <c r="E51" s="233"/>
      <c r="F51" s="243"/>
      <c r="G51" s="143"/>
      <c r="H51" s="106"/>
      <c r="I51" s="243"/>
      <c r="J51" s="143"/>
      <c r="K51" s="106"/>
      <c r="L51" s="243"/>
      <c r="M51" s="143"/>
      <c r="N51" s="233"/>
      <c r="O51" s="815">
        <f>IF($B$8="","",$B$8)</f>
      </c>
      <c r="P51" s="832" t="s">
        <v>883</v>
      </c>
      <c r="Q51" s="264"/>
      <c r="R51" s="65"/>
      <c r="U51" s="133"/>
      <c r="V51" s="68"/>
      <c r="W51" s="267"/>
      <c r="X51" s="65"/>
      <c r="Y51" s="267"/>
      <c r="Z51" s="65"/>
      <c r="AA51" s="267"/>
      <c r="AB51" s="65"/>
      <c r="AC51" s="267"/>
      <c r="AD51" s="65"/>
      <c r="AE51" s="267"/>
      <c r="AF51" s="65"/>
      <c r="AG51" s="267"/>
      <c r="AH51" s="65"/>
      <c r="AI51" s="267"/>
      <c r="AJ51" s="65"/>
      <c r="AK51" s="267"/>
      <c r="AL51" s="70"/>
      <c r="AM51" s="70"/>
      <c r="AN51" s="255"/>
      <c r="AO51" s="31"/>
      <c r="AP51" s="21"/>
      <c r="AQ51" s="21"/>
      <c r="AR51" s="21"/>
      <c r="AS51" s="21"/>
    </row>
    <row r="52" spans="1:45" s="18" customFormat="1" ht="15" customHeight="1">
      <c r="A52" s="816" t="s">
        <v>869</v>
      </c>
      <c r="B52" s="829" t="s">
        <v>885</v>
      </c>
      <c r="C52" s="223"/>
      <c r="D52" s="828"/>
      <c r="E52" s="234"/>
      <c r="F52" s="244"/>
      <c r="G52" s="828"/>
      <c r="H52" s="107"/>
      <c r="I52" s="244"/>
      <c r="J52" s="828"/>
      <c r="K52" s="107"/>
      <c r="L52" s="244"/>
      <c r="M52" s="828"/>
      <c r="N52" s="234"/>
      <c r="O52" s="999" t="s">
        <v>1291</v>
      </c>
      <c r="P52" s="19"/>
      <c r="Q52" s="261"/>
      <c r="R52" s="261"/>
      <c r="U52" s="133"/>
      <c r="V52" s="68"/>
      <c r="W52" s="264"/>
      <c r="X52" s="77"/>
      <c r="Y52" s="264"/>
      <c r="Z52" s="77"/>
      <c r="AA52" s="264"/>
      <c r="AB52" s="77"/>
      <c r="AC52" s="264"/>
      <c r="AD52" s="77"/>
      <c r="AE52" s="264"/>
      <c r="AF52" s="77"/>
      <c r="AG52" s="264"/>
      <c r="AH52" s="77"/>
      <c r="AI52" s="264"/>
      <c r="AJ52" s="77"/>
      <c r="AK52" s="264"/>
      <c r="AL52" s="70"/>
      <c r="AM52" s="70"/>
      <c r="AN52" s="255"/>
      <c r="AO52" s="31"/>
      <c r="AP52" s="21"/>
      <c r="AQ52" s="21"/>
      <c r="AR52" s="21"/>
      <c r="AS52" s="21"/>
    </row>
    <row r="53" spans="1:45" s="18" customFormat="1" ht="15" customHeight="1">
      <c r="A53" s="795"/>
      <c r="B53" s="992"/>
      <c r="C53" s="127"/>
      <c r="D53" s="693"/>
      <c r="E53" s="129"/>
      <c r="F53" s="245"/>
      <c r="G53" s="693"/>
      <c r="H53" s="817"/>
      <c r="I53" s="245"/>
      <c r="J53" s="693"/>
      <c r="K53" s="817"/>
      <c r="L53" s="245"/>
      <c r="M53" s="693"/>
      <c r="N53" s="129"/>
      <c r="O53" s="1000" t="s">
        <v>1292</v>
      </c>
      <c r="P53" s="1001"/>
      <c r="Q53" s="131"/>
      <c r="R53" s="70"/>
      <c r="U53" s="133"/>
      <c r="V53" s="68"/>
      <c r="W53" s="89"/>
      <c r="X53" s="261"/>
      <c r="Y53" s="89"/>
      <c r="Z53" s="261"/>
      <c r="AA53" s="89"/>
      <c r="AB53" s="261"/>
      <c r="AC53" s="89"/>
      <c r="AD53" s="261"/>
      <c r="AE53" s="89"/>
      <c r="AF53" s="261"/>
      <c r="AG53" s="89"/>
      <c r="AH53" s="261"/>
      <c r="AI53" s="89"/>
      <c r="AJ53" s="261"/>
      <c r="AK53" s="89"/>
      <c r="AL53" s="262"/>
      <c r="AM53" s="70"/>
      <c r="AN53" s="255"/>
      <c r="AO53" s="31"/>
      <c r="AP53" s="21"/>
      <c r="AQ53" s="21"/>
      <c r="AR53" s="21"/>
      <c r="AS53" s="21"/>
    </row>
    <row r="54" spans="1:45" s="18" customFormat="1" ht="15" customHeight="1">
      <c r="A54" s="795" t="s">
        <v>53</v>
      </c>
      <c r="B54" s="993"/>
      <c r="C54" s="128"/>
      <c r="D54" s="693"/>
      <c r="E54" s="813" t="s">
        <v>910</v>
      </c>
      <c r="F54" s="814"/>
      <c r="G54" s="812"/>
      <c r="H54" s="813" t="s">
        <v>910</v>
      </c>
      <c r="I54" s="814"/>
      <c r="J54" s="812"/>
      <c r="K54" s="813" t="s">
        <v>910</v>
      </c>
      <c r="L54" s="814"/>
      <c r="M54" s="812"/>
      <c r="N54" s="813" t="s">
        <v>910</v>
      </c>
      <c r="O54" s="1002" t="s">
        <v>1293</v>
      </c>
      <c r="P54" s="1003"/>
      <c r="Q54" s="263"/>
      <c r="R54" s="70"/>
      <c r="S54" s="8"/>
      <c r="T54" s="8"/>
      <c r="U54" s="65"/>
      <c r="V54" s="68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70"/>
      <c r="AM54" s="70"/>
      <c r="AN54" s="70"/>
      <c r="AO54" s="31"/>
      <c r="AP54" s="21"/>
      <c r="AQ54" s="21"/>
      <c r="AR54" s="21"/>
      <c r="AS54" s="21"/>
    </row>
    <row r="55" spans="1:45" s="18" customFormat="1" ht="12.75">
      <c r="A55" s="795" t="s">
        <v>852</v>
      </c>
      <c r="B55" s="824" t="s">
        <v>883</v>
      </c>
      <c r="C55" s="221"/>
      <c r="D55" s="828"/>
      <c r="E55" s="232"/>
      <c r="F55" s="269"/>
      <c r="G55" s="828"/>
      <c r="H55" s="232"/>
      <c r="I55" s="269"/>
      <c r="J55" s="828"/>
      <c r="K55" s="232"/>
      <c r="L55" s="269"/>
      <c r="M55" s="828"/>
      <c r="N55" s="232"/>
      <c r="O55" s="1004"/>
      <c r="P55" s="1005"/>
      <c r="S55" s="77"/>
      <c r="T55" s="68"/>
      <c r="U55" s="65"/>
      <c r="V55" s="68"/>
      <c r="W55" s="65"/>
      <c r="X55" s="65"/>
      <c r="Y55" s="65"/>
      <c r="Z55" s="65"/>
      <c r="AA55" s="65"/>
      <c r="AB55" s="65"/>
      <c r="AC55" s="268"/>
      <c r="AD55" s="65"/>
      <c r="AE55" s="65"/>
      <c r="AF55" s="65"/>
      <c r="AG55" s="65"/>
      <c r="AH55" s="65"/>
      <c r="AI55" s="77"/>
      <c r="AJ55" s="77"/>
      <c r="AK55" s="77"/>
      <c r="AL55" s="77"/>
      <c r="AM55" s="68"/>
      <c r="AN55" s="65"/>
      <c r="AO55" s="31"/>
      <c r="AP55" s="21"/>
      <c r="AQ55" s="21"/>
      <c r="AR55" s="21"/>
      <c r="AS55" s="21"/>
    </row>
    <row r="56" spans="1:45" s="18" customFormat="1" ht="12.75">
      <c r="A56" s="795" t="s">
        <v>867</v>
      </c>
      <c r="B56" s="270"/>
      <c r="C56" s="222"/>
      <c r="D56" s="143"/>
      <c r="E56" s="233"/>
      <c r="F56" s="243"/>
      <c r="G56" s="143"/>
      <c r="H56" s="233"/>
      <c r="I56" s="243"/>
      <c r="J56" s="143"/>
      <c r="K56" s="233"/>
      <c r="L56" s="243"/>
      <c r="M56" s="143"/>
      <c r="N56" s="233"/>
      <c r="O56" s="999" t="s">
        <v>1294</v>
      </c>
      <c r="P56" s="19"/>
      <c r="S56" s="8"/>
      <c r="T56" s="8"/>
      <c r="U56" s="8"/>
      <c r="V56" s="8"/>
      <c r="W56" s="20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66"/>
      <c r="AN56" s="66"/>
      <c r="AO56" s="21"/>
      <c r="AP56" s="21"/>
      <c r="AQ56" s="21"/>
      <c r="AR56" s="21"/>
      <c r="AS56" s="21"/>
    </row>
    <row r="57" spans="1:45" s="18" customFormat="1" ht="12.75">
      <c r="A57" s="816" t="s">
        <v>869</v>
      </c>
      <c r="B57" s="829" t="s">
        <v>885</v>
      </c>
      <c r="C57" s="223"/>
      <c r="D57" s="828"/>
      <c r="E57" s="234"/>
      <c r="F57" s="244"/>
      <c r="G57" s="828"/>
      <c r="H57" s="234"/>
      <c r="I57" s="244"/>
      <c r="J57" s="828"/>
      <c r="K57" s="234"/>
      <c r="L57" s="244"/>
      <c r="M57" s="828"/>
      <c r="N57" s="234"/>
      <c r="O57" s="1000" t="s">
        <v>1295</v>
      </c>
      <c r="P57" s="176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66"/>
      <c r="AN57" s="66"/>
      <c r="AO57" s="21"/>
      <c r="AP57" s="21"/>
      <c r="AQ57" s="21"/>
      <c r="AR57" s="21"/>
      <c r="AS57" s="21"/>
    </row>
    <row r="58" spans="1:45" s="18" customFormat="1" ht="12.75">
      <c r="A58" s="795"/>
      <c r="B58" s="992"/>
      <c r="C58" s="127"/>
      <c r="D58" s="693"/>
      <c r="E58" s="129"/>
      <c r="F58" s="245"/>
      <c r="G58" s="693"/>
      <c r="H58" s="129"/>
      <c r="I58" s="245"/>
      <c r="J58" s="693"/>
      <c r="K58" s="129"/>
      <c r="L58" s="245"/>
      <c r="M58" s="693"/>
      <c r="N58" s="129"/>
      <c r="O58" s="1006"/>
      <c r="P58" s="1005"/>
      <c r="Q58" s="8"/>
      <c r="R58" s="8"/>
      <c r="S58" s="64"/>
      <c r="T58" s="64"/>
      <c r="U58" s="64"/>
      <c r="V58" s="65"/>
      <c r="W58" s="65"/>
      <c r="X58" s="247"/>
      <c r="Y58" s="65"/>
      <c r="Z58" s="247"/>
      <c r="AA58" s="65"/>
      <c r="AB58" s="247"/>
      <c r="AC58" s="65"/>
      <c r="AD58" s="247"/>
      <c r="AE58" s="65"/>
      <c r="AF58" s="247"/>
      <c r="AG58" s="65"/>
      <c r="AH58" s="247"/>
      <c r="AI58" s="65"/>
      <c r="AJ58" s="247"/>
      <c r="AK58" s="65"/>
      <c r="AL58" s="247"/>
      <c r="AM58" s="70"/>
      <c r="AN58" s="70"/>
      <c r="AO58" s="31"/>
      <c r="AP58" s="21"/>
      <c r="AQ58" s="21"/>
      <c r="AR58" s="21"/>
      <c r="AS58" s="21"/>
    </row>
    <row r="59" spans="1:45" s="18" customFormat="1" ht="12.75">
      <c r="A59" s="795" t="s">
        <v>52</v>
      </c>
      <c r="B59" s="993"/>
      <c r="C59" s="128"/>
      <c r="D59" s="693"/>
      <c r="E59" s="130" t="s">
        <v>911</v>
      </c>
      <c r="F59" s="246"/>
      <c r="G59" s="693"/>
      <c r="H59" s="130" t="s">
        <v>911</v>
      </c>
      <c r="I59" s="246"/>
      <c r="J59" s="693"/>
      <c r="K59" s="130" t="s">
        <v>911</v>
      </c>
      <c r="L59" s="246"/>
      <c r="M59" s="693"/>
      <c r="N59" s="130" t="s">
        <v>911</v>
      </c>
      <c r="O59" s="999" t="s">
        <v>1296</v>
      </c>
      <c r="P59" s="19"/>
      <c r="Q59" s="77"/>
      <c r="R59" s="77"/>
      <c r="S59" s="249"/>
      <c r="T59" s="64"/>
      <c r="U59" s="64"/>
      <c r="V59" s="65"/>
      <c r="W59" s="65"/>
      <c r="X59" s="248"/>
      <c r="Y59" s="65"/>
      <c r="Z59" s="248"/>
      <c r="AA59" s="65"/>
      <c r="AB59" s="248"/>
      <c r="AC59" s="65"/>
      <c r="AD59" s="248"/>
      <c r="AE59" s="65"/>
      <c r="AF59" s="248"/>
      <c r="AG59" s="65"/>
      <c r="AH59" s="248"/>
      <c r="AI59" s="65"/>
      <c r="AJ59" s="248"/>
      <c r="AK59" s="65"/>
      <c r="AL59" s="248"/>
      <c r="AM59" s="250"/>
      <c r="AN59" s="70"/>
      <c r="AO59" s="31"/>
      <c r="AP59" s="21"/>
      <c r="AQ59" s="21"/>
      <c r="AR59" s="21"/>
      <c r="AS59" s="21"/>
    </row>
    <row r="60" spans="1:45" s="18" customFormat="1" ht="12.75">
      <c r="A60" s="795" t="s">
        <v>852</v>
      </c>
      <c r="B60" s="824" t="s">
        <v>883</v>
      </c>
      <c r="C60" s="221"/>
      <c r="D60" s="828"/>
      <c r="E60" s="232"/>
      <c r="F60" s="242"/>
      <c r="G60" s="828"/>
      <c r="H60" s="232"/>
      <c r="I60" s="242"/>
      <c r="J60" s="828"/>
      <c r="K60" s="232"/>
      <c r="L60" s="242"/>
      <c r="M60" s="828"/>
      <c r="N60" s="232"/>
      <c r="O60" s="1007"/>
      <c r="P60" s="1008"/>
      <c r="Q60" s="8"/>
      <c r="R60" s="8"/>
      <c r="S60" s="249"/>
      <c r="T60" s="64"/>
      <c r="U60" s="64"/>
      <c r="V60" s="65"/>
      <c r="W60" s="65"/>
      <c r="X60" s="251"/>
      <c r="Y60" s="65"/>
      <c r="Z60" s="251"/>
      <c r="AA60" s="65"/>
      <c r="AB60" s="251"/>
      <c r="AC60" s="65"/>
      <c r="AD60" s="251"/>
      <c r="AE60" s="65"/>
      <c r="AF60" s="251"/>
      <c r="AG60" s="65"/>
      <c r="AH60" s="251"/>
      <c r="AI60" s="65"/>
      <c r="AJ60" s="251"/>
      <c r="AK60" s="65"/>
      <c r="AL60" s="251"/>
      <c r="AM60" s="250"/>
      <c r="AN60" s="70"/>
      <c r="AO60" s="31"/>
      <c r="AP60" s="21"/>
      <c r="AQ60" s="21"/>
      <c r="AR60" s="21"/>
      <c r="AS60" s="21"/>
    </row>
    <row r="61" spans="1:45" s="18" customFormat="1" ht="12.75">
      <c r="A61" s="795" t="s">
        <v>867</v>
      </c>
      <c r="B61" s="270"/>
      <c r="C61" s="222"/>
      <c r="D61" s="143"/>
      <c r="E61" s="233"/>
      <c r="F61" s="243"/>
      <c r="G61" s="143"/>
      <c r="H61" s="233"/>
      <c r="I61" s="243"/>
      <c r="J61" s="143"/>
      <c r="K61" s="233"/>
      <c r="L61" s="243"/>
      <c r="M61" s="143"/>
      <c r="N61" s="233"/>
      <c r="O61" s="1009" t="s">
        <v>909</v>
      </c>
      <c r="P61" s="1010"/>
      <c r="Q61" s="8"/>
      <c r="R61" s="8"/>
      <c r="S61" s="109"/>
      <c r="T61" s="109"/>
      <c r="U61" s="109"/>
      <c r="V61" s="65"/>
      <c r="W61" s="65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31"/>
      <c r="AP61" s="21"/>
      <c r="AQ61" s="21"/>
      <c r="AR61" s="21"/>
      <c r="AS61" s="21"/>
    </row>
    <row r="62" spans="1:45" s="18" customFormat="1" ht="12.75">
      <c r="A62" s="816" t="s">
        <v>869</v>
      </c>
      <c r="B62" s="829" t="s">
        <v>885</v>
      </c>
      <c r="C62" s="223"/>
      <c r="D62" s="828"/>
      <c r="E62" s="234"/>
      <c r="F62" s="244"/>
      <c r="G62" s="828"/>
      <c r="H62" s="234"/>
      <c r="I62" s="244"/>
      <c r="J62" s="828"/>
      <c r="K62" s="234"/>
      <c r="L62" s="244"/>
      <c r="M62" s="828"/>
      <c r="N62" s="234"/>
      <c r="O62" s="1011">
        <f>IF($H$11="","",$H$11)</f>
      </c>
      <c r="P62" s="800" t="str">
        <f>IF(Input!$B$6="","",IF(Input!$B$6="E","Degree F",IF(Input!$B$6="M","Degree C")))</f>
        <v>Degree F</v>
      </c>
      <c r="Q62" s="64"/>
      <c r="R62" s="247"/>
      <c r="S62" s="64"/>
      <c r="T62" s="64"/>
      <c r="U62" s="64"/>
      <c r="V62" s="65"/>
      <c r="W62" s="65"/>
      <c r="X62" s="205"/>
      <c r="Y62" s="65"/>
      <c r="Z62" s="205"/>
      <c r="AA62" s="65"/>
      <c r="AB62" s="205"/>
      <c r="AC62" s="65"/>
      <c r="AD62" s="205"/>
      <c r="AE62" s="65"/>
      <c r="AF62" s="205"/>
      <c r="AG62" s="65"/>
      <c r="AH62" s="205"/>
      <c r="AI62" s="65"/>
      <c r="AJ62" s="205"/>
      <c r="AK62" s="65"/>
      <c r="AL62" s="205"/>
      <c r="AM62" s="250"/>
      <c r="AN62" s="70"/>
      <c r="AO62" s="31"/>
      <c r="AP62" s="21"/>
      <c r="AQ62" s="21"/>
      <c r="AR62" s="21"/>
      <c r="AS62" s="21"/>
    </row>
    <row r="63" spans="1:45" s="18" customFormat="1" ht="12.75">
      <c r="A63" s="747"/>
      <c r="B63" s="693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93"/>
      <c r="P63" s="693"/>
      <c r="Q63" s="64"/>
      <c r="R63" s="248"/>
      <c r="S63" s="64"/>
      <c r="T63" s="64"/>
      <c r="U63" s="64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70"/>
      <c r="AN63" s="70"/>
      <c r="AO63" s="31"/>
      <c r="AP63" s="21"/>
      <c r="AQ63" s="21"/>
      <c r="AR63" s="21"/>
      <c r="AS63" s="21"/>
    </row>
    <row r="64" spans="1:45" s="18" customFormat="1" ht="12.75">
      <c r="A64" s="747" t="s">
        <v>868</v>
      </c>
      <c r="B64" s="693"/>
      <c r="C64" s="132"/>
      <c r="D64" s="830"/>
      <c r="E64" s="830"/>
      <c r="F64" s="830"/>
      <c r="G64" s="830"/>
      <c r="H64" s="830"/>
      <c r="I64" s="830"/>
      <c r="J64" s="831"/>
      <c r="K64" s="830"/>
      <c r="L64" s="830"/>
      <c r="M64" s="830"/>
      <c r="N64" s="830"/>
      <c r="O64" s="830"/>
      <c r="P64" s="830"/>
      <c r="Q64" s="64"/>
      <c r="R64" s="251"/>
      <c r="S64" s="64"/>
      <c r="T64" s="64"/>
      <c r="U64" s="64"/>
      <c r="V64" s="65"/>
      <c r="W64" s="65"/>
      <c r="X64" s="253"/>
      <c r="Y64" s="65"/>
      <c r="Z64" s="253"/>
      <c r="AA64" s="65"/>
      <c r="AB64" s="253"/>
      <c r="AC64" s="65"/>
      <c r="AD64" s="253"/>
      <c r="AE64" s="65"/>
      <c r="AF64" s="253"/>
      <c r="AG64" s="65"/>
      <c r="AH64" s="253"/>
      <c r="AI64" s="65"/>
      <c r="AJ64" s="253"/>
      <c r="AK64" s="65"/>
      <c r="AL64" s="253"/>
      <c r="AM64" s="70"/>
      <c r="AN64" s="70"/>
      <c r="AO64" s="31"/>
      <c r="AP64" s="21"/>
      <c r="AQ64" s="21"/>
      <c r="AR64" s="21"/>
      <c r="AS64" s="21"/>
    </row>
    <row r="65" spans="1:45" s="18" customFormat="1" ht="12.75">
      <c r="A65" s="66"/>
      <c r="B65" s="693"/>
      <c r="C65" s="344"/>
      <c r="D65" s="247"/>
      <c r="E65" s="255"/>
      <c r="F65" s="247"/>
      <c r="G65" s="255"/>
      <c r="H65" s="247"/>
      <c r="I65" s="255"/>
      <c r="J65" s="247"/>
      <c r="K65" s="255"/>
      <c r="L65" s="247"/>
      <c r="M65" s="255"/>
      <c r="N65" s="247"/>
      <c r="O65" s="693"/>
      <c r="P65" s="693"/>
      <c r="Q65" s="109"/>
      <c r="R65" s="109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70"/>
      <c r="AN65" s="70"/>
      <c r="AO65" s="31"/>
      <c r="AP65" s="21"/>
      <c r="AQ65" s="21"/>
      <c r="AR65" s="21"/>
      <c r="AS65" s="21"/>
    </row>
    <row r="66" spans="1:45" s="18" customFormat="1" ht="12.75">
      <c r="A66" s="493"/>
      <c r="B66" s="493"/>
      <c r="C66" s="493"/>
      <c r="D66" s="503"/>
      <c r="E66" s="503"/>
      <c r="F66" s="493"/>
      <c r="G66" s="693"/>
      <c r="H66" s="693"/>
      <c r="I66" s="693"/>
      <c r="J66" s="821"/>
      <c r="K66" s="255"/>
      <c r="L66" s="821"/>
      <c r="M66" s="568" t="s">
        <v>1016</v>
      </c>
      <c r="N66" s="569">
        <f>+IF(Input!E14="","",Input!E14)</f>
      </c>
      <c r="O66" s="571"/>
      <c r="P66" s="693"/>
      <c r="Q66" s="64"/>
      <c r="R66" s="20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70"/>
      <c r="AN66" s="70"/>
      <c r="AO66" s="31"/>
      <c r="AP66" s="21"/>
      <c r="AQ66" s="21"/>
      <c r="AR66" s="21"/>
      <c r="AS66" s="21"/>
    </row>
    <row r="67" spans="1:45" s="18" customFormat="1" ht="12.75">
      <c r="A67" s="3"/>
      <c r="B67" s="3"/>
      <c r="C67"/>
      <c r="D67"/>
      <c r="E67"/>
      <c r="F67"/>
      <c r="G67"/>
      <c r="H67"/>
      <c r="I67"/>
      <c r="J67" s="64"/>
      <c r="K67" s="64"/>
      <c r="L67" s="64"/>
      <c r="M67" s="64"/>
      <c r="N67" s="64"/>
      <c r="Q67" s="64"/>
      <c r="R67" s="64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70"/>
      <c r="AN67" s="70"/>
      <c r="AO67" s="31"/>
      <c r="AP67" s="21"/>
      <c r="AQ67" s="21"/>
      <c r="AR67" s="21"/>
      <c r="AS67" s="21"/>
    </row>
    <row r="68" spans="1:45" s="18" customFormat="1" ht="12.75">
      <c r="A68" s="8"/>
      <c r="C68" s="68"/>
      <c r="D68" s="252"/>
      <c r="E68" s="64"/>
      <c r="F68" s="252"/>
      <c r="G68" s="64"/>
      <c r="H68" s="252"/>
      <c r="I68" s="64"/>
      <c r="J68" s="252"/>
      <c r="K68" s="64"/>
      <c r="L68" s="252"/>
      <c r="M68" s="64"/>
      <c r="N68" s="252"/>
      <c r="Q68" s="64"/>
      <c r="R68" s="252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70"/>
      <c r="AN68" s="70"/>
      <c r="AO68" s="31"/>
      <c r="AP68" s="21"/>
      <c r="AQ68" s="21"/>
      <c r="AR68" s="21"/>
      <c r="AS68" s="21"/>
    </row>
    <row r="69" spans="1:45" s="18" customFormat="1" ht="12.75">
      <c r="A69" s="8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70"/>
      <c r="AN69" s="70"/>
      <c r="AO69" s="31"/>
      <c r="AP69" s="21"/>
      <c r="AQ69" s="21"/>
      <c r="AR69" s="21"/>
      <c r="AS69" s="21"/>
    </row>
    <row r="70" spans="1:45" s="18" customFormat="1" ht="12.75">
      <c r="A70" s="8"/>
      <c r="C70" s="108"/>
      <c r="D70" s="108"/>
      <c r="E70" s="108"/>
      <c r="F70" s="108"/>
      <c r="G70" s="65"/>
      <c r="H70" s="108"/>
      <c r="I70" s="65"/>
      <c r="J70" s="65"/>
      <c r="K70" s="65"/>
      <c r="L70" s="65"/>
      <c r="M70" s="65"/>
      <c r="N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70"/>
      <c r="AN70" s="70"/>
      <c r="AO70" s="31"/>
      <c r="AP70" s="21"/>
      <c r="AQ70" s="21"/>
      <c r="AR70" s="21"/>
      <c r="AS70" s="21"/>
    </row>
    <row r="71" spans="1:45" s="18" customFormat="1" ht="12.75">
      <c r="A71" s="65"/>
      <c r="B71" s="133"/>
      <c r="C71" s="108"/>
      <c r="D71" s="108"/>
      <c r="E71" s="108"/>
      <c r="F71" s="108"/>
      <c r="G71" s="108"/>
      <c r="H71" s="108"/>
      <c r="I71" s="65"/>
      <c r="J71" s="108"/>
      <c r="K71" s="108"/>
      <c r="L71" s="108"/>
      <c r="M71" s="108"/>
      <c r="N71" s="108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70"/>
      <c r="AN71" s="70"/>
      <c r="AO71" s="31"/>
      <c r="AP71" s="21"/>
      <c r="AQ71" s="21"/>
      <c r="AR71" s="21"/>
      <c r="AS71" s="21"/>
    </row>
    <row r="72" spans="1:45" s="18" customFormat="1" ht="12.75">
      <c r="A72" s="65"/>
      <c r="B72" s="133"/>
      <c r="C72" s="108"/>
      <c r="D72" s="108"/>
      <c r="E72" s="108"/>
      <c r="F72" s="108"/>
      <c r="G72" s="108"/>
      <c r="H72" s="108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70"/>
      <c r="AN72" s="70"/>
      <c r="AO72" s="31"/>
      <c r="AP72" s="21"/>
      <c r="AQ72" s="21"/>
      <c r="AR72" s="21"/>
      <c r="AS72" s="21"/>
    </row>
    <row r="73" spans="1:45" s="18" customFormat="1" ht="12.75">
      <c r="A73" s="65"/>
      <c r="B73" s="133"/>
      <c r="C73" s="108"/>
      <c r="D73" s="108"/>
      <c r="E73" s="108"/>
      <c r="F73" s="108"/>
      <c r="G73" s="108"/>
      <c r="H73" s="108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70"/>
      <c r="AN73" s="70"/>
      <c r="AO73" s="31"/>
      <c r="AP73" s="21"/>
      <c r="AQ73" s="21"/>
      <c r="AR73" s="21"/>
      <c r="AS73" s="21"/>
    </row>
    <row r="74" spans="1:45" s="18" customFormat="1" ht="12.75">
      <c r="A74" s="65"/>
      <c r="B74" s="133"/>
      <c r="C74" s="108"/>
      <c r="D74" s="108"/>
      <c r="E74" s="108"/>
      <c r="F74" s="108"/>
      <c r="G74" s="108"/>
      <c r="H74" s="108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70"/>
      <c r="AN74" s="70"/>
      <c r="AO74" s="31"/>
      <c r="AP74" s="21"/>
      <c r="AQ74" s="21"/>
      <c r="AR74" s="21"/>
      <c r="AS74" s="21"/>
    </row>
    <row r="75" spans="1:45" s="18" customFormat="1" ht="12.75">
      <c r="A75" s="65"/>
      <c r="B75" s="133"/>
      <c r="C75" s="108"/>
      <c r="D75" s="108"/>
      <c r="E75" s="108"/>
      <c r="F75" s="108"/>
      <c r="G75" s="108"/>
      <c r="H75" s="111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66"/>
      <c r="AN75" s="66"/>
      <c r="AO75" s="21"/>
      <c r="AP75" s="21"/>
      <c r="AQ75" s="21"/>
      <c r="AR75" s="21"/>
      <c r="AS75" s="21"/>
    </row>
    <row r="76" spans="1:45" s="18" customFormat="1" ht="12.75">
      <c r="A76" s="65"/>
      <c r="B76" s="133"/>
      <c r="C76" s="108"/>
      <c r="D76" s="108"/>
      <c r="E76" s="108"/>
      <c r="F76" s="108"/>
      <c r="G76" s="108"/>
      <c r="H76" s="111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66"/>
      <c r="AN76" s="66"/>
      <c r="AO76" s="21"/>
      <c r="AP76" s="21"/>
      <c r="AQ76" s="21"/>
      <c r="AR76" s="21"/>
      <c r="AS76" s="21"/>
    </row>
    <row r="77" spans="1:45" s="18" customFormat="1" ht="12.75">
      <c r="A77" s="65"/>
      <c r="B77" s="133"/>
      <c r="C77" s="108"/>
      <c r="D77" s="108"/>
      <c r="E77" s="108"/>
      <c r="F77" s="108"/>
      <c r="G77" s="108"/>
      <c r="H77" s="111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66"/>
      <c r="AN77" s="66"/>
      <c r="AO77" s="21"/>
      <c r="AP77" s="21"/>
      <c r="AQ77" s="21"/>
      <c r="AR77" s="21"/>
      <c r="AS77" s="21"/>
    </row>
    <row r="78" spans="1:45" s="18" customFormat="1" ht="12.75">
      <c r="A78" s="65"/>
      <c r="B78" s="133"/>
      <c r="C78" s="108"/>
      <c r="D78" s="108"/>
      <c r="E78" s="108"/>
      <c r="F78" s="108"/>
      <c r="G78" s="108"/>
      <c r="H78" s="111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21"/>
      <c r="AP78" s="21"/>
      <c r="AQ78" s="21"/>
      <c r="AR78" s="21"/>
      <c r="AS78" s="21"/>
    </row>
    <row r="79" spans="1:45" s="18" customFormat="1" ht="12.75">
      <c r="A79" s="65"/>
      <c r="B79" s="108"/>
      <c r="C79" s="108"/>
      <c r="D79" s="108"/>
      <c r="E79" s="108"/>
      <c r="F79" s="108"/>
      <c r="G79" s="10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21"/>
      <c r="AP79" s="21"/>
      <c r="AQ79" s="21"/>
      <c r="AR79" s="21"/>
      <c r="AS79" s="21"/>
    </row>
    <row r="80" spans="1:45" s="18" customFormat="1" ht="12.75">
      <c r="A80" s="65"/>
      <c r="B80" s="108"/>
      <c r="C80" s="108"/>
      <c r="D80" s="108"/>
      <c r="E80" s="108"/>
      <c r="F80" s="108"/>
      <c r="G80" s="10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21"/>
      <c r="AP80" s="21"/>
      <c r="AQ80" s="21"/>
      <c r="AR80" s="21"/>
      <c r="AS80" s="21"/>
    </row>
    <row r="81" spans="1:45" s="18" customFormat="1" ht="12.75">
      <c r="A81" s="65"/>
      <c r="B81" s="108"/>
      <c r="C81" s="108"/>
      <c r="D81" s="108"/>
      <c r="E81" s="108"/>
      <c r="F81" s="108"/>
      <c r="G81" s="10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21"/>
      <c r="AP81" s="21"/>
      <c r="AQ81" s="21"/>
      <c r="AR81" s="21"/>
      <c r="AS81" s="21"/>
    </row>
    <row r="82" spans="1:45" s="18" customFormat="1" ht="12.75">
      <c r="A82" s="65"/>
      <c r="B82" s="108"/>
      <c r="C82" s="108"/>
      <c r="D82" s="108"/>
      <c r="E82" s="108"/>
      <c r="F82" s="108"/>
      <c r="G82" s="10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21"/>
      <c r="AP82" s="21"/>
      <c r="AQ82" s="21"/>
      <c r="AR82" s="21"/>
      <c r="AS82" s="21"/>
    </row>
    <row r="83" spans="1:45" s="18" customFormat="1" ht="12.75">
      <c r="A83" s="65"/>
      <c r="B83" s="108"/>
      <c r="C83" s="108"/>
      <c r="D83" s="108"/>
      <c r="E83" s="108"/>
      <c r="F83" s="108"/>
      <c r="G83" s="10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21"/>
      <c r="AP83" s="21"/>
      <c r="AQ83" s="21"/>
      <c r="AR83" s="21"/>
      <c r="AS83" s="21"/>
    </row>
    <row r="84" spans="1:45" s="18" customFormat="1" ht="12.75">
      <c r="A84" s="65"/>
      <c r="B84" s="108"/>
      <c r="C84" s="108"/>
      <c r="D84" s="108"/>
      <c r="E84" s="108"/>
      <c r="F84" s="108"/>
      <c r="G84" s="10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21"/>
      <c r="AP84" s="21"/>
      <c r="AQ84" s="21"/>
      <c r="AR84" s="21"/>
      <c r="AS84" s="21"/>
    </row>
    <row r="85" spans="1:40" s="18" customFormat="1" ht="12.75">
      <c r="A85" s="65"/>
      <c r="B85" s="108"/>
      <c r="C85" s="108"/>
      <c r="D85" s="108"/>
      <c r="E85" s="108"/>
      <c r="F85" s="108"/>
      <c r="G85" s="108"/>
      <c r="H85" s="8"/>
      <c r="I85" s="8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</row>
    <row r="86" spans="1:40" s="18" customFormat="1" ht="12.75">
      <c r="A86" s="68"/>
      <c r="B86" s="282"/>
      <c r="C86" s="282"/>
      <c r="D86" s="283"/>
      <c r="E86" s="108"/>
      <c r="F86" s="65"/>
      <c r="G86" s="108"/>
      <c r="H86" s="8"/>
      <c r="I86" s="8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</row>
    <row r="87" spans="1:40" s="18" customFormat="1" ht="12.75">
      <c r="A87" s="65"/>
      <c r="B87" s="65"/>
      <c r="C87" s="65"/>
      <c r="D87" s="65"/>
      <c r="E87" s="108"/>
      <c r="F87" s="65"/>
      <c r="G87" s="108"/>
      <c r="H87" s="8"/>
      <c r="I87" s="8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</row>
    <row r="88" spans="1:40" s="18" customFormat="1" ht="12.75">
      <c r="A88" s="68"/>
      <c r="B88" s="108"/>
      <c r="C88" s="108"/>
      <c r="D88" s="108"/>
      <c r="E88" s="108"/>
      <c r="F88" s="65"/>
      <c r="G88" s="108"/>
      <c r="H88" s="8"/>
      <c r="I88" s="8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</row>
    <row r="89" spans="1:40" s="18" customFormat="1" ht="12.75">
      <c r="A89" s="8"/>
      <c r="B89" s="8"/>
      <c r="C89" s="8"/>
      <c r="D89" s="8"/>
      <c r="E89" s="8"/>
      <c r="F89" s="8"/>
      <c r="G89" s="8"/>
      <c r="H89" s="8"/>
      <c r="I89" s="8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</row>
    <row r="90" spans="1:40" s="18" customFormat="1" ht="12.75">
      <c r="A90" s="8"/>
      <c r="B90" s="8"/>
      <c r="C90" s="8"/>
      <c r="D90" s="8"/>
      <c r="E90" s="8"/>
      <c r="F90" s="8"/>
      <c r="G90" s="8"/>
      <c r="H90" s="8"/>
      <c r="I90" s="8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</row>
    <row r="91" spans="1:40" s="18" customFormat="1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</row>
    <row r="92" spans="1:40" s="18" customFormat="1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</row>
    <row r="93" spans="1:40" s="18" customFormat="1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</row>
    <row r="94" spans="1:40" s="18" customFormat="1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1:40" s="18" customFormat="1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1:40" s="18" customFormat="1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1:40" s="18" customFormat="1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</row>
    <row r="98" spans="1:40" s="18" customFormat="1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</row>
    <row r="99" spans="1:40" s="18" customFormat="1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</row>
    <row r="100" spans="1:40" s="18" customFormat="1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</row>
    <row r="101" spans="1:40" s="18" customFormat="1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</row>
    <row r="102" spans="1:40" s="18" customFormat="1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</row>
    <row r="103" spans="1:40" s="18" customFormat="1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</row>
    <row r="104" spans="1:40" s="18" customFormat="1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</row>
    <row r="105" spans="1:40" s="18" customFormat="1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</row>
    <row r="106" spans="1:40" s="18" customFormat="1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1:40" s="18" customFormat="1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</row>
    <row r="108" spans="1:40" s="18" customFormat="1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</row>
    <row r="109" spans="1:40" s="18" customFormat="1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</row>
    <row r="110" spans="1:40" s="18" customFormat="1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1" spans="1:40" s="18" customFormat="1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</row>
    <row r="112" spans="1:40" s="18" customFormat="1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</row>
    <row r="113" spans="1:40" s="18" customFormat="1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</row>
    <row r="114" spans="1:40" s="18" customFormat="1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</row>
    <row r="115" spans="1:40" s="18" customFormat="1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</row>
    <row r="116" spans="1:40" s="18" customFormat="1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</row>
    <row r="117" spans="1:40" s="18" customFormat="1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</row>
    <row r="118" spans="1:40" s="18" customFormat="1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</row>
    <row r="119" spans="1:40" s="18" customFormat="1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</row>
    <row r="120" spans="1:40" s="18" customFormat="1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</row>
    <row r="121" spans="1:40" s="18" customFormat="1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</row>
    <row r="122" spans="1:40" s="18" customFormat="1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</row>
    <row r="123" spans="1:40" s="18" customFormat="1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</row>
    <row r="124" spans="1:40" s="18" customFormat="1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</row>
    <row r="125" spans="1:40" s="18" customFormat="1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</row>
    <row r="126" spans="1:40" s="18" customFormat="1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</row>
    <row r="127" spans="1:40" s="18" customFormat="1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</row>
    <row r="128" spans="1:40" s="18" customFormat="1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</row>
    <row r="129" spans="1:40" s="18" customFormat="1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</row>
    <row r="130" spans="1:40" s="18" customFormat="1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</row>
    <row r="131" spans="1:40" s="18" customFormat="1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</row>
    <row r="132" spans="1:40" s="18" customFormat="1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</row>
    <row r="133" spans="1:40" s="18" customFormat="1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</row>
    <row r="134" spans="1:40" s="18" customFormat="1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</row>
    <row r="135" spans="1:40" s="18" customFormat="1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</row>
    <row r="136" spans="1:40" s="18" customFormat="1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</row>
    <row r="137" spans="1:40" s="18" customFormat="1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</row>
    <row r="138" spans="1:40" s="18" customFormat="1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</row>
    <row r="139" spans="1:40" s="18" customFormat="1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</row>
    <row r="140" spans="1:40" s="18" customFormat="1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</row>
    <row r="141" spans="1:40" s="18" customFormat="1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</row>
    <row r="142" spans="1:40" s="18" customFormat="1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</row>
    <row r="143" spans="1:40" s="18" customFormat="1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</row>
    <row r="144" spans="1:40" s="18" customFormat="1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</row>
    <row r="145" spans="1:40" s="18" customFormat="1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</row>
    <row r="146" spans="1:40" s="18" customFormat="1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</row>
    <row r="147" spans="1:40" s="18" customFormat="1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</row>
    <row r="148" spans="1:40" s="18" customFormat="1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</row>
    <row r="149" spans="1:40" s="18" customFormat="1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</row>
    <row r="150" spans="1:40" s="18" customFormat="1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</row>
    <row r="151" spans="1:40" s="18" customFormat="1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</row>
    <row r="152" spans="1:40" s="18" customFormat="1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</row>
    <row r="153" spans="1:40" s="18" customFormat="1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</row>
    <row r="154" spans="1:40" s="18" customFormat="1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</row>
    <row r="155" spans="1:40" s="18" customFormat="1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</row>
    <row r="156" spans="1:40" s="18" customFormat="1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</row>
    <row r="157" spans="1:40" s="18" customFormat="1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</row>
    <row r="158" spans="1:40" s="18" customFormat="1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</row>
    <row r="159" spans="1:40" s="18" customFormat="1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</row>
    <row r="160" spans="1:40" s="18" customFormat="1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</row>
    <row r="161" s="18" customFormat="1" ht="11.25"/>
    <row r="162" spans="1:40" s="18" customFormat="1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</row>
    <row r="163" spans="1:40" s="18" customFormat="1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</row>
    <row r="164" spans="1:40" s="18" customFormat="1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</row>
    <row r="165" spans="1:40" s="18" customFormat="1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</row>
    <row r="166" spans="1:40" s="18" customFormat="1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</row>
    <row r="167" spans="1:40" s="18" customFormat="1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</row>
    <row r="168" spans="1:40" s="18" customFormat="1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</row>
    <row r="169" spans="1:40" s="18" customFormat="1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</row>
    <row r="170" spans="1:40" s="18" customFormat="1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</row>
    <row r="171" spans="1:40" s="18" customFormat="1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</row>
    <row r="172" spans="1:40" s="18" customFormat="1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</row>
    <row r="173" spans="1:40" s="18" customFormat="1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</row>
    <row r="174" spans="1:40" s="18" customFormat="1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</row>
    <row r="175" spans="1:40" s="18" customFormat="1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</row>
    <row r="176" spans="1:40" s="18" customFormat="1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</row>
    <row r="177" spans="1:40" s="18" customFormat="1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</row>
    <row r="178" spans="1:40" s="18" customFormat="1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</row>
    <row r="179" spans="1:40" s="18" customFormat="1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</row>
    <row r="180" spans="1:40" s="18" customFormat="1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</row>
    <row r="181" spans="1:40" s="18" customFormat="1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</row>
    <row r="182" spans="1:40" s="18" customFormat="1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</row>
    <row r="183" spans="1:40" s="18" customFormat="1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</row>
    <row r="184" spans="1:40" s="18" customFormat="1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</row>
    <row r="185" spans="1:40" s="18" customFormat="1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</row>
    <row r="186" spans="1:40" s="18" customFormat="1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</row>
    <row r="187" spans="1:40" s="18" customFormat="1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</row>
    <row r="188" spans="1:40" s="18" customFormat="1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</row>
    <row r="189" spans="1:40" s="18" customFormat="1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</row>
    <row r="190" spans="1:40" s="18" customFormat="1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</row>
    <row r="191" spans="1:40" s="18" customFormat="1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</row>
    <row r="192" spans="1:40" s="18" customFormat="1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</row>
    <row r="193" spans="1:40" s="18" customFormat="1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</row>
    <row r="194" spans="1:40" s="18" customFormat="1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</row>
    <row r="195" spans="1:40" s="18" customFormat="1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</row>
    <row r="196" spans="1:40" s="18" customFormat="1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</row>
    <row r="197" spans="1:40" s="18" customFormat="1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</row>
    <row r="198" spans="1:40" s="18" customFormat="1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</row>
    <row r="199" spans="1:40" s="18" customFormat="1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</row>
    <row r="200" spans="1:40" s="18" customFormat="1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</row>
    <row r="201" spans="1:40" s="18" customFormat="1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</row>
    <row r="202" spans="1:40" s="18" customFormat="1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</row>
    <row r="203" spans="1:40" s="18" customFormat="1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</row>
    <row r="204" spans="1:40" s="18" customFormat="1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</row>
    <row r="205" spans="1:40" s="18" customFormat="1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</row>
    <row r="206" spans="1:40" s="18" customFormat="1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</row>
    <row r="207" spans="1:40" s="18" customFormat="1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</row>
    <row r="208" spans="1:40" s="18" customFormat="1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</row>
    <row r="209" spans="1:40" s="18" customFormat="1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</row>
    <row r="210" spans="1:40" s="18" customFormat="1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</row>
    <row r="211" spans="1:40" s="18" customFormat="1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</row>
    <row r="212" spans="1:40" s="18" customFormat="1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</row>
    <row r="213" spans="1:40" s="18" customFormat="1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</row>
    <row r="214" spans="1:40" s="18" customFormat="1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</row>
    <row r="215" spans="1:40" s="18" customFormat="1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</row>
    <row r="216" spans="1:40" s="18" customFormat="1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</row>
    <row r="217" spans="1:40" s="18" customFormat="1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</row>
    <row r="218" spans="1:40" s="18" customFormat="1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</row>
    <row r="219" spans="1:40" s="18" customFormat="1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</row>
    <row r="220" spans="1:40" s="18" customFormat="1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</row>
    <row r="221" spans="1:40" s="18" customFormat="1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</row>
    <row r="222" spans="1:40" s="18" customFormat="1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</row>
    <row r="223" spans="1:40" s="18" customFormat="1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</row>
    <row r="224" spans="1:40" s="18" customFormat="1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</row>
    <row r="225" spans="1:40" s="18" customFormat="1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</row>
    <row r="226" spans="1:40" s="18" customFormat="1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</row>
    <row r="227" spans="1:40" s="18" customFormat="1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</row>
    <row r="228" spans="1:40" s="18" customFormat="1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</row>
    <row r="229" spans="1:40" s="18" customFormat="1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</row>
    <row r="230" spans="1:40" s="18" customFormat="1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</row>
    <row r="231" spans="1:40" s="18" customFormat="1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</row>
    <row r="232" spans="1:40" s="18" customFormat="1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</row>
    <row r="233" spans="1:40" s="18" customFormat="1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</row>
    <row r="234" spans="1:40" s="18" customFormat="1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</row>
    <row r="235" spans="1:40" s="18" customFormat="1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</row>
    <row r="236" spans="1:40" s="18" customFormat="1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</row>
    <row r="237" spans="1:40" s="18" customFormat="1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</row>
    <row r="238" spans="1:40" s="18" customFormat="1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</row>
    <row r="239" spans="1:40" s="18" customFormat="1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</row>
    <row r="240" spans="1:40" s="18" customFormat="1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</row>
    <row r="241" spans="1:40" s="18" customFormat="1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</row>
    <row r="242" spans="1:40" s="18" customFormat="1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</row>
    <row r="243" spans="1:40" s="18" customFormat="1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</row>
    <row r="244" spans="1:40" s="18" customFormat="1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</row>
    <row r="245" spans="1:40" s="18" customFormat="1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</row>
    <row r="246" spans="1:40" s="18" customFormat="1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</row>
    <row r="247" spans="1:40" s="18" customFormat="1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</row>
    <row r="248" spans="1:40" s="18" customFormat="1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</row>
    <row r="249" spans="1:40" s="18" customFormat="1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</row>
    <row r="250" spans="1:40" s="18" customFormat="1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</row>
    <row r="251" spans="1:40" s="18" customFormat="1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</row>
    <row r="252" spans="1:40" s="18" customFormat="1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</row>
    <row r="253" spans="1:40" s="18" customFormat="1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</row>
    <row r="254" spans="1:40" s="18" customFormat="1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</row>
    <row r="255" spans="1:40" s="18" customFormat="1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</row>
    <row r="256" spans="1:40" s="18" customFormat="1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</row>
    <row r="257" spans="1:40" s="18" customFormat="1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</row>
    <row r="258" spans="1:40" s="18" customFormat="1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</row>
    <row r="259" spans="1:40" s="18" customFormat="1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</row>
    <row r="260" spans="1:40" s="18" customFormat="1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</row>
    <row r="261" spans="1:40" s="18" customFormat="1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</row>
    <row r="262" spans="1:40" s="18" customFormat="1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</row>
    <row r="263" spans="1:40" s="18" customFormat="1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</row>
    <row r="264" spans="1:40" s="18" customFormat="1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</row>
    <row r="265" spans="1:40" s="18" customFormat="1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</row>
    <row r="266" spans="1:40" s="18" customFormat="1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</row>
    <row r="267" spans="1:40" s="18" customFormat="1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</row>
    <row r="268" spans="1:40" s="18" customFormat="1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</row>
    <row r="269" spans="1:40" s="18" customFormat="1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</row>
    <row r="270" spans="1:40" s="18" customFormat="1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</row>
    <row r="271" spans="1:40" s="18" customFormat="1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</row>
    <row r="272" spans="1:40" s="18" customFormat="1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</row>
    <row r="273" spans="1:40" s="18" customFormat="1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</row>
    <row r="274" spans="1:40" s="18" customFormat="1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</row>
    <row r="275" spans="1:40" s="18" customFormat="1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</row>
    <row r="276" spans="1:40" s="18" customFormat="1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</row>
    <row r="277" spans="1:40" s="18" customFormat="1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</row>
    <row r="278" spans="1:40" s="18" customFormat="1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</row>
    <row r="279" spans="1:40" s="18" customFormat="1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</row>
    <row r="280" spans="1:40" s="18" customFormat="1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</row>
    <row r="281" spans="1:40" s="18" customFormat="1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</row>
    <row r="282" spans="1:40" s="18" customFormat="1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</row>
    <row r="283" spans="1:40" s="18" customFormat="1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</row>
    <row r="284" spans="1:40" s="18" customFormat="1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</row>
    <row r="285" spans="1:40" s="18" customFormat="1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</row>
    <row r="286" spans="1:40" s="18" customFormat="1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</row>
    <row r="287" spans="1:40" s="18" customFormat="1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</row>
    <row r="288" spans="1:40" s="18" customFormat="1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</row>
    <row r="289" spans="1:40" s="18" customFormat="1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</row>
    <row r="290" spans="1:40" s="18" customFormat="1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</row>
    <row r="291" spans="1:40" s="18" customFormat="1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</row>
    <row r="292" spans="1:40" s="18" customFormat="1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</row>
    <row r="293" spans="1:40" s="18" customFormat="1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</row>
    <row r="294" spans="1:40" s="18" customFormat="1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</row>
    <row r="295" spans="1:40" s="18" customFormat="1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</row>
    <row r="296" spans="1:40" s="18" customFormat="1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</row>
    <row r="297" spans="1:40" s="18" customFormat="1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</row>
    <row r="298" spans="1:40" s="18" customFormat="1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</row>
    <row r="299" spans="1:40" s="18" customFormat="1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</row>
    <row r="300" spans="1:40" s="18" customFormat="1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</row>
    <row r="301" spans="1:40" s="18" customFormat="1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</row>
    <row r="302" spans="1:40" s="18" customFormat="1" ht="12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</row>
    <row r="303" spans="1:40" s="18" customFormat="1" ht="12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</row>
    <row r="304" spans="1:40" s="18" customFormat="1" ht="12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</row>
    <row r="305" spans="1:40" s="18" customFormat="1" ht="12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</row>
    <row r="306" spans="1:40" s="18" customFormat="1" ht="12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</row>
    <row r="307" spans="1:40" s="18" customFormat="1" ht="12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</row>
    <row r="308" spans="1:40" s="18" customFormat="1" ht="12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</row>
    <row r="309" spans="1:40" s="18" customFormat="1" ht="12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</row>
    <row r="310" spans="1:40" s="18" customFormat="1" ht="12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</row>
    <row r="311" spans="1:40" s="18" customFormat="1" ht="12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</row>
    <row r="312" spans="1:40" s="18" customFormat="1" ht="12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</row>
    <row r="313" spans="1:40" s="18" customFormat="1" ht="12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</row>
    <row r="314" spans="1:40" s="18" customFormat="1" ht="12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</row>
    <row r="315" spans="1:40" s="18" customFormat="1" ht="12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</row>
    <row r="316" spans="1:40" s="18" customFormat="1" ht="12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</row>
    <row r="317" spans="1:40" s="18" customFormat="1" ht="12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</row>
    <row r="318" spans="1:40" s="18" customFormat="1" ht="12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</row>
    <row r="319" spans="1:40" s="18" customFormat="1" ht="12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</row>
    <row r="320" spans="1:40" s="18" customFormat="1" ht="12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</row>
    <row r="321" spans="1:40" s="18" customFormat="1" ht="12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</row>
    <row r="322" spans="1:40" s="18" customFormat="1" ht="12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</row>
    <row r="323" spans="1:40" s="18" customFormat="1" ht="12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</row>
    <row r="324" spans="1:40" s="18" customFormat="1" ht="12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</row>
    <row r="325" spans="1:40" s="18" customFormat="1" ht="12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</row>
    <row r="326" spans="1:40" s="18" customFormat="1" ht="12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</row>
    <row r="327" spans="1:40" s="18" customFormat="1" ht="12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</row>
    <row r="328" spans="1:40" s="18" customFormat="1" ht="12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</row>
    <row r="329" spans="1:40" s="18" customFormat="1" ht="12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</row>
    <row r="330" spans="1:40" s="18" customFormat="1" ht="12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</row>
    <row r="331" spans="1:40" s="18" customFormat="1" ht="12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</row>
    <row r="332" spans="1:40" s="18" customFormat="1" ht="12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</row>
    <row r="333" spans="1:40" s="18" customFormat="1" ht="12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</row>
    <row r="334" spans="1:40" s="18" customFormat="1" ht="12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</row>
    <row r="335" spans="1:40" s="18" customFormat="1" ht="12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</row>
    <row r="336" spans="1:40" s="18" customFormat="1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</row>
    <row r="337" spans="1:40" s="18" customFormat="1" ht="12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</row>
    <row r="338" spans="1:40" s="18" customFormat="1" ht="12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</row>
    <row r="339" spans="1:40" s="18" customFormat="1" ht="12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</row>
    <row r="340" spans="1:40" s="18" customFormat="1" ht="12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</row>
    <row r="341" spans="1:40" s="18" customFormat="1" ht="12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</row>
    <row r="342" spans="1:40" s="18" customFormat="1" ht="12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</row>
    <row r="343" spans="1:40" s="18" customFormat="1" ht="12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</row>
    <row r="344" spans="1:40" s="18" customFormat="1" ht="12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</row>
    <row r="345" spans="1:40" s="18" customFormat="1" ht="12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</row>
    <row r="346" spans="1:40" s="18" customFormat="1" ht="12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</row>
    <row r="347" spans="1:40" s="18" customFormat="1" ht="12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</row>
    <row r="348" spans="1:40" s="18" customFormat="1" ht="12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</row>
    <row r="349" spans="1:40" s="18" customFormat="1" ht="12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</row>
    <row r="350" spans="1:40" s="18" customFormat="1" ht="12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</row>
    <row r="351" spans="1:40" s="18" customFormat="1" ht="12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</row>
    <row r="352" spans="1:40" s="18" customFormat="1" ht="12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</row>
    <row r="353" spans="1:40" s="18" customFormat="1" ht="12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</row>
    <row r="354" spans="1:40" s="18" customFormat="1" ht="12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</row>
    <row r="355" spans="1:40" s="18" customFormat="1" ht="12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</row>
    <row r="356" spans="1:40" s="18" customFormat="1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</row>
    <row r="357" spans="1:40" s="18" customFormat="1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</row>
    <row r="358" spans="1:40" s="18" customFormat="1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</row>
    <row r="359" spans="1:40" s="18" customFormat="1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</row>
    <row r="360" spans="1:40" s="18" customFormat="1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</row>
    <row r="361" spans="1:40" s="18" customFormat="1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</row>
    <row r="362" s="18" customFormat="1" ht="11.25"/>
    <row r="363" s="18" customFormat="1" ht="11.25"/>
    <row r="364" s="18" customFormat="1" ht="11.25"/>
    <row r="365" s="18" customFormat="1" ht="11.25"/>
    <row r="366" s="18" customFormat="1" ht="11.25"/>
    <row r="367" s="18" customFormat="1" ht="11.25"/>
    <row r="368" s="18" customFormat="1" ht="11.25"/>
    <row r="369" s="18" customFormat="1" ht="11.25"/>
    <row r="370" s="18" customFormat="1" ht="11.25"/>
    <row r="371" s="18" customFormat="1" ht="11.25"/>
    <row r="372" s="18" customFormat="1" ht="11.25"/>
    <row r="373" s="18" customFormat="1" ht="11.25"/>
    <row r="374" s="18" customFormat="1" ht="11.25"/>
    <row r="375" s="18" customFormat="1" ht="11.25"/>
    <row r="376" s="18" customFormat="1" ht="11.25"/>
    <row r="377" s="18" customFormat="1" ht="11.25"/>
    <row r="378" s="18" customFormat="1" ht="11.25"/>
    <row r="379" s="18" customFormat="1" ht="11.25"/>
    <row r="380" s="18" customFormat="1" ht="11.25"/>
    <row r="381" s="18" customFormat="1" ht="11.25"/>
    <row r="382" s="18" customFormat="1" ht="11.25"/>
    <row r="383" s="18" customFormat="1" ht="11.25"/>
    <row r="384" s="18" customFormat="1" ht="11.25"/>
  </sheetData>
  <sheetProtection sheet="1" objects="1" scenarios="1"/>
  <mergeCells count="9">
    <mergeCell ref="BA23:BB23"/>
    <mergeCell ref="BC23:BD23"/>
    <mergeCell ref="BE23:BF23"/>
    <mergeCell ref="B1:D1"/>
    <mergeCell ref="AQ23:AR23"/>
    <mergeCell ref="AS23:AT23"/>
    <mergeCell ref="AU23:AV23"/>
    <mergeCell ref="AW23:AX23"/>
    <mergeCell ref="AY23:AZ23"/>
  </mergeCells>
  <dataValidations count="4">
    <dataValidation type="list" allowBlank="1" showInputMessage="1" showErrorMessage="1" sqref="M52 M50 J52 J50 M55 M62 D52 D50 G52 G50 M60 M57 D60 J62 J55 D57 D55 D62 G60 G57 G55 G62 J60 J57">
      <formula1>$S$24:$S$37</formula1>
    </dataValidation>
    <dataValidation type="list" allowBlank="1" showInputMessage="1" showErrorMessage="1" sqref="B40:B46">
      <formula1>$S$24:$S$39</formula1>
    </dataValidation>
    <dataValidation type="list" allowBlank="1" showInputMessage="1" showErrorMessage="1" sqref="H7">
      <formula1>$T$24:$T$25</formula1>
    </dataValidation>
    <dataValidation type="list" allowBlank="1" showInputMessage="1" showErrorMessage="1" sqref="B26:B39 B47:B48 B50 B52 B55 B57 B60 B62 P51 P49 P46 P44 P41">
      <formula1>$S$24:$S$48</formula1>
    </dataValidation>
  </dataValidations>
  <printOptions horizontalCentered="1" verticalCentered="1"/>
  <pageMargins left="0.5" right="0.5" top="0.5" bottom="0.5" header="0" footer="0"/>
  <pageSetup fitToHeight="1" fitToWidth="1" horizontalDpi="600" verticalDpi="600" orientation="landscape" scale="68" r:id="rId3"/>
  <colBreaks count="1" manualBreakCount="1">
    <brk id="20" min="13" max="53" man="1"/>
  </colBreaks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W3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3" max="3" width="15.7109375" style="0" customWidth="1"/>
    <col min="4" max="4" width="14.28125" style="0" customWidth="1"/>
    <col min="5" max="5" width="10.7109375" style="0" customWidth="1"/>
    <col min="6" max="6" width="12.00390625" style="0" customWidth="1"/>
    <col min="7" max="7" width="11.7109375" style="0" customWidth="1"/>
    <col min="8" max="11" width="10.7109375" style="0" customWidth="1"/>
    <col min="12" max="12" width="10.140625" style="0" customWidth="1"/>
    <col min="13" max="13" width="9.8515625" style="0" customWidth="1"/>
    <col min="14" max="14" width="9.57421875" style="0" customWidth="1"/>
    <col min="15" max="18" width="10.7109375" style="0" customWidth="1"/>
  </cols>
  <sheetData>
    <row r="1" spans="1:15" ht="15.75">
      <c r="A1" s="834"/>
      <c r="B1" s="835"/>
      <c r="C1" s="493"/>
      <c r="D1" s="493"/>
      <c r="E1" s="1023" t="s">
        <v>861</v>
      </c>
      <c r="F1" s="1024"/>
      <c r="G1" s="1024"/>
      <c r="H1" s="493"/>
      <c r="I1" s="493"/>
      <c r="J1" s="493"/>
      <c r="K1" s="493"/>
      <c r="L1" s="493"/>
      <c r="M1" s="493"/>
      <c r="N1" s="493"/>
      <c r="O1" s="493"/>
    </row>
    <row r="2" spans="1:15" ht="15.75">
      <c r="A2" s="706" t="s">
        <v>918</v>
      </c>
      <c r="B2" s="705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</row>
    <row r="3" spans="1:15" ht="12.75">
      <c r="A3" s="545"/>
      <c r="B3" s="545"/>
      <c r="C3" s="1040"/>
      <c r="D3" s="1041"/>
      <c r="E3" s="1041"/>
      <c r="F3" s="545"/>
      <c r="G3" s="545"/>
      <c r="H3" s="545"/>
      <c r="I3" s="493"/>
      <c r="J3" s="493"/>
      <c r="K3" s="493"/>
      <c r="L3" s="493"/>
      <c r="M3" s="493"/>
      <c r="N3" s="493"/>
      <c r="O3" s="493"/>
    </row>
    <row r="4" spans="1:75" ht="12.75">
      <c r="A4" s="70"/>
      <c r="B4" s="545"/>
      <c r="C4" s="741"/>
      <c r="D4" s="741"/>
      <c r="E4" s="131"/>
      <c r="F4" s="70"/>
      <c r="G4" s="70"/>
      <c r="H4" s="70"/>
      <c r="I4" s="66"/>
      <c r="J4" s="66"/>
      <c r="K4" s="66"/>
      <c r="L4" s="66"/>
      <c r="M4" s="66"/>
      <c r="N4" s="66"/>
      <c r="O4" s="66"/>
      <c r="P4" s="8"/>
      <c r="Q4" s="8"/>
      <c r="R4" s="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</row>
    <row r="5" spans="1:75" ht="12.75">
      <c r="A5" s="741"/>
      <c r="B5" s="837"/>
      <c r="C5" s="705"/>
      <c r="D5" s="741"/>
      <c r="E5" s="836"/>
      <c r="F5" s="545"/>
      <c r="G5" s="705"/>
      <c r="H5" s="705"/>
      <c r="I5" s="705"/>
      <c r="J5" s="705"/>
      <c r="K5" s="705"/>
      <c r="L5" s="705"/>
      <c r="M5" s="705"/>
      <c r="N5" s="545"/>
      <c r="O5" s="66"/>
      <c r="P5" s="8"/>
      <c r="Q5" s="8"/>
      <c r="R5" s="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1:75" ht="12.75">
      <c r="A6" s="838"/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545"/>
      <c r="O6" s="66"/>
      <c r="P6" s="8"/>
      <c r="Q6" s="8"/>
      <c r="R6" s="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7" spans="1:75" ht="12.75">
      <c r="A7" s="66" t="s">
        <v>114</v>
      </c>
      <c r="B7" s="66"/>
      <c r="C7" s="66"/>
      <c r="D7" s="66"/>
      <c r="E7" s="66"/>
      <c r="F7" s="70"/>
      <c r="G7" s="66"/>
      <c r="H7" s="66"/>
      <c r="I7" s="66"/>
      <c r="J7" s="66"/>
      <c r="K7" s="66"/>
      <c r="L7" s="66"/>
      <c r="M7" s="66"/>
      <c r="N7" s="66"/>
      <c r="O7" s="66"/>
      <c r="P7" s="8"/>
      <c r="Q7" s="8"/>
      <c r="R7" s="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</row>
    <row r="8" spans="1:75" ht="4.5" customHeight="1">
      <c r="A8" s="91"/>
      <c r="B8" s="92"/>
      <c r="C8" s="92"/>
      <c r="D8" s="92"/>
      <c r="E8" s="92"/>
      <c r="F8" s="839"/>
      <c r="G8" s="92"/>
      <c r="H8" s="92"/>
      <c r="I8" s="92"/>
      <c r="J8" s="92"/>
      <c r="K8" s="92"/>
      <c r="L8" s="92"/>
      <c r="M8" s="92"/>
      <c r="N8" s="92"/>
      <c r="O8" s="92"/>
      <c r="P8" s="65"/>
      <c r="Q8" s="65"/>
      <c r="R8" s="65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</row>
    <row r="9" spans="1:75" ht="12.75">
      <c r="A9" s="66" t="s">
        <v>917</v>
      </c>
      <c r="B9" s="66"/>
      <c r="C9" s="66"/>
      <c r="D9" s="66"/>
      <c r="E9" s="66"/>
      <c r="F9" s="66"/>
      <c r="G9" s="493"/>
      <c r="H9" s="66"/>
      <c r="I9" s="66"/>
      <c r="J9" s="66"/>
      <c r="K9" s="66"/>
      <c r="L9" s="66"/>
      <c r="M9" s="66"/>
      <c r="N9" s="7" t="s">
        <v>1310</v>
      </c>
      <c r="O9" s="66"/>
      <c r="P9" s="8"/>
      <c r="Q9" s="8"/>
      <c r="R9" s="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</row>
    <row r="10" spans="1:75" ht="15.75">
      <c r="A10" s="1025" t="s">
        <v>84</v>
      </c>
      <c r="B10" s="1026"/>
      <c r="C10" s="1026"/>
      <c r="D10" s="1026"/>
      <c r="E10" s="1026"/>
      <c r="F10" s="1026"/>
      <c r="G10" s="1026"/>
      <c r="H10" s="1026"/>
      <c r="I10" s="1026"/>
      <c r="J10" s="1026"/>
      <c r="K10" s="1026"/>
      <c r="L10" s="1026"/>
      <c r="M10" s="1026"/>
      <c r="N10" s="1026"/>
      <c r="O10" s="1026"/>
      <c r="P10" s="65"/>
      <c r="Q10" s="65"/>
      <c r="R10" s="65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1:75" ht="12.75">
      <c r="A11" s="1027" t="s">
        <v>101</v>
      </c>
      <c r="B11" s="1026"/>
      <c r="C11" s="1026"/>
      <c r="D11" s="1026"/>
      <c r="E11" s="1026"/>
      <c r="F11" s="1026"/>
      <c r="G11" s="1026"/>
      <c r="H11" s="1026"/>
      <c r="I11" s="1026"/>
      <c r="J11" s="1026"/>
      <c r="K11" s="1026"/>
      <c r="L11" s="1026"/>
      <c r="M11" s="1026"/>
      <c r="N11" s="1026"/>
      <c r="O11" s="1026"/>
      <c r="P11" s="65"/>
      <c r="Q11" s="65"/>
      <c r="R11" s="65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</row>
    <row r="12" spans="1:75" ht="12.75">
      <c r="A12" s="1027" t="s">
        <v>102</v>
      </c>
      <c r="B12" s="1026"/>
      <c r="C12" s="1026"/>
      <c r="D12" s="1026"/>
      <c r="E12" s="1026"/>
      <c r="F12" s="1026"/>
      <c r="G12" s="1026"/>
      <c r="H12" s="1026"/>
      <c r="I12" s="1026"/>
      <c r="J12" s="1026"/>
      <c r="K12" s="1026"/>
      <c r="L12" s="1026"/>
      <c r="M12" s="1026"/>
      <c r="N12" s="1026"/>
      <c r="O12" s="1026"/>
      <c r="P12" s="65"/>
      <c r="Q12" s="65"/>
      <c r="R12" s="65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</row>
    <row r="13" spans="1:75" ht="12.75">
      <c r="A13" s="1030" t="s">
        <v>1267</v>
      </c>
      <c r="B13" s="1026"/>
      <c r="C13" s="1026"/>
      <c r="D13" s="1026"/>
      <c r="E13" s="1026"/>
      <c r="F13" s="1026"/>
      <c r="G13" s="1026"/>
      <c r="H13" s="1026"/>
      <c r="I13" s="1026"/>
      <c r="J13" s="1026"/>
      <c r="K13" s="1026"/>
      <c r="L13" s="1026"/>
      <c r="M13" s="1026"/>
      <c r="N13" s="1026"/>
      <c r="O13" s="1026"/>
      <c r="P13" s="65"/>
      <c r="Q13" s="65"/>
      <c r="R13" s="65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</row>
    <row r="14" spans="1:75" ht="12.75">
      <c r="A14" s="493"/>
      <c r="B14" s="493"/>
      <c r="C14" s="496" t="s">
        <v>1003</v>
      </c>
      <c r="D14" s="497">
        <f>IF(Input!$B$7="","",Input!$B$7)</f>
      </c>
      <c r="E14" s="498"/>
      <c r="F14" s="1020" t="s">
        <v>107</v>
      </c>
      <c r="G14" s="500">
        <v>1</v>
      </c>
      <c r="H14" s="501">
        <f>IF(Input!$C$64="","",Input!$C$64)</f>
      </c>
      <c r="I14" s="500">
        <v>5</v>
      </c>
      <c r="J14" s="501">
        <f>IF(Input!$E$64="","",Input!$E$64)</f>
      </c>
      <c r="K14" s="502" t="s">
        <v>560</v>
      </c>
      <c r="L14" s="607"/>
      <c r="M14" s="503"/>
      <c r="N14" s="529"/>
      <c r="O14" s="70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</row>
    <row r="15" spans="1:75" ht="12.75">
      <c r="A15" s="493"/>
      <c r="B15" s="493"/>
      <c r="C15" s="496" t="s">
        <v>103</v>
      </c>
      <c r="D15" s="497">
        <f>IF(Input!$B$8="","",Input!$B$8)</f>
      </c>
      <c r="E15" s="498"/>
      <c r="F15" s="1021"/>
      <c r="G15" s="500">
        <v>2</v>
      </c>
      <c r="H15" s="501">
        <f>IF(Input!$C$65="","",Input!$C$65)</f>
      </c>
      <c r="I15" s="500">
        <v>6</v>
      </c>
      <c r="J15" s="501">
        <f>IF(Input!$E$65="","",Input!$E$65)</f>
      </c>
      <c r="K15" s="505" t="s">
        <v>50</v>
      </c>
      <c r="L15" s="506">
        <f ca="1">TODAY()</f>
        <v>40878</v>
      </c>
      <c r="M15" s="503"/>
      <c r="N15" s="529"/>
      <c r="O15" s="70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</row>
    <row r="16" spans="1:75" ht="12.75">
      <c r="A16" s="493"/>
      <c r="B16" s="493"/>
      <c r="C16" s="496" t="s">
        <v>1041</v>
      </c>
      <c r="D16" s="497">
        <f>IF(Input!$B$10="","",Input!$B$10)</f>
      </c>
      <c r="E16" s="498"/>
      <c r="F16" s="1021"/>
      <c r="G16" s="500">
        <v>3</v>
      </c>
      <c r="H16" s="501">
        <f>IF(Input!$C$66="","",Input!$C$66)</f>
      </c>
      <c r="I16" s="500">
        <v>7</v>
      </c>
      <c r="J16" s="501">
        <f>IF(Input!$E$66="","",Input!$E$66)</f>
      </c>
      <c r="K16" s="496" t="s">
        <v>1034</v>
      </c>
      <c r="L16" s="507">
        <f>IF(Input!$B$30="","",Input!$B$30)</f>
      </c>
      <c r="M16" s="508"/>
      <c r="N16" s="529"/>
      <c r="O16" s="70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</row>
    <row r="17" spans="1:69" ht="12.75">
      <c r="A17" s="493"/>
      <c r="B17" s="493"/>
      <c r="C17" s="496" t="s">
        <v>1004</v>
      </c>
      <c r="D17" s="497">
        <f>IF(Input!$E$5="","",Input!$E$5)</f>
      </c>
      <c r="E17" s="498"/>
      <c r="F17" s="1022"/>
      <c r="G17" s="500">
        <v>4</v>
      </c>
      <c r="H17" s="501">
        <f>IF(Input!$C$67="","",Input!$C$67)</f>
      </c>
      <c r="I17" s="500">
        <v>8</v>
      </c>
      <c r="J17" s="501">
        <f>IF(Input!$E$67="","",Input!$E$67)</f>
      </c>
      <c r="K17" s="496" t="s">
        <v>1035</v>
      </c>
      <c r="L17" s="507">
        <f>IF(Input!$B$31="","",Input!$B$31)</f>
      </c>
      <c r="M17" s="508"/>
      <c r="N17" s="693"/>
      <c r="O17" s="693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</row>
    <row r="18" spans="1:75" ht="12.75">
      <c r="A18" s="493"/>
      <c r="B18" s="493"/>
      <c r="C18" s="510" t="s">
        <v>49</v>
      </c>
      <c r="D18" s="497">
        <f>IF(Input!$E$6="","",Input!$E$6)</f>
      </c>
      <c r="E18" s="498"/>
      <c r="F18" s="496" t="s">
        <v>1017</v>
      </c>
      <c r="G18" s="511">
        <f>IF(Input!$B$68="","",Input!$B$68)</f>
      </c>
      <c r="H18" s="512"/>
      <c r="I18" s="512"/>
      <c r="J18" s="512"/>
      <c r="K18" s="496" t="s">
        <v>1030</v>
      </c>
      <c r="L18" s="507">
        <f>IF(Input!$B$32="","",Input!$B$32)</f>
      </c>
      <c r="M18" s="508"/>
      <c r="N18" s="840"/>
      <c r="O18" s="586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</row>
    <row r="19" spans="1:75" ht="12.75">
      <c r="A19" s="493"/>
      <c r="B19" s="493"/>
      <c r="C19" s="510" t="s">
        <v>106</v>
      </c>
      <c r="D19" s="497">
        <f>IF(Input!$E$7="","",Input!$E$7)</f>
      </c>
      <c r="E19" s="498"/>
      <c r="F19" s="496" t="s">
        <v>1018</v>
      </c>
      <c r="G19" s="511">
        <f>IF(Input!$B$69="","",Input!$B$69)</f>
      </c>
      <c r="H19" s="512"/>
      <c r="I19" s="512"/>
      <c r="J19" s="512"/>
      <c r="K19" s="496" t="s">
        <v>1036</v>
      </c>
      <c r="L19" s="507">
        <f>IF(Input!$B$33="","",Input!$B$33)</f>
      </c>
      <c r="M19" s="508"/>
      <c r="N19" s="840"/>
      <c r="O19" s="586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</row>
    <row r="20" spans="1:75" ht="12.75">
      <c r="A20" s="493"/>
      <c r="B20" s="493"/>
      <c r="C20" s="510" t="s">
        <v>48</v>
      </c>
      <c r="D20" s="497">
        <f>IF(Input!$E$8="","",Input!$E$8)</f>
      </c>
      <c r="E20" s="498"/>
      <c r="F20" s="496" t="s">
        <v>1019</v>
      </c>
      <c r="G20" s="511">
        <f>IF(Input!$B$70="","",Input!$B$70)</f>
      </c>
      <c r="H20" s="512"/>
      <c r="I20" s="512"/>
      <c r="J20" s="512"/>
      <c r="K20" s="496" t="s">
        <v>1033</v>
      </c>
      <c r="L20" s="507">
        <f>IF(Input!$B$34="","",Input!$B$34)</f>
      </c>
      <c r="M20" s="508"/>
      <c r="N20" s="840"/>
      <c r="O20" s="586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</row>
    <row r="21" spans="1:75" ht="12.75">
      <c r="A21" s="493"/>
      <c r="B21" s="493"/>
      <c r="C21" s="496" t="s">
        <v>1039</v>
      </c>
      <c r="D21" s="497">
        <f>IF(Input!$B$37="","",Input!$B$37)</f>
      </c>
      <c r="E21" s="498"/>
      <c r="F21" s="496" t="s">
        <v>1020</v>
      </c>
      <c r="G21" s="511">
        <f>IF(Input!$B$71="","",Input!$B$71)</f>
      </c>
      <c r="H21" s="512"/>
      <c r="I21" s="512"/>
      <c r="J21" s="512"/>
      <c r="K21" s="496" t="s">
        <v>1037</v>
      </c>
      <c r="L21" s="507">
        <f>IF(Input!$B$35="","",Input!$B$35)</f>
      </c>
      <c r="M21" s="508"/>
      <c r="N21" s="70"/>
      <c r="O21" s="563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</row>
    <row r="22" spans="1:75" ht="12.75">
      <c r="A22" s="493"/>
      <c r="B22" s="493"/>
      <c r="C22" s="496" t="s">
        <v>98</v>
      </c>
      <c r="D22" s="573"/>
      <c r="E22" s="574"/>
      <c r="F22" s="496" t="s">
        <v>1021</v>
      </c>
      <c r="G22" s="511">
        <f>IF(Input!$B$72="","",Input!$B$72)</f>
      </c>
      <c r="H22" s="512"/>
      <c r="I22" s="512"/>
      <c r="J22" s="512"/>
      <c r="K22" s="496" t="s">
        <v>1038</v>
      </c>
      <c r="L22" s="507">
        <f>IF(Input!$B$36="","",Input!$B$36)</f>
      </c>
      <c r="M22" s="508"/>
      <c r="N22" s="344"/>
      <c r="O22" s="584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</row>
    <row r="23" spans="1:75" ht="12.75">
      <c r="A23" s="493"/>
      <c r="B23" s="493"/>
      <c r="C23" s="496" t="s">
        <v>104</v>
      </c>
      <c r="D23" s="497">
        <f>IF(Input!$B$9="","",Input!$B$9)</f>
      </c>
      <c r="E23" s="498"/>
      <c r="F23" s="496" t="s">
        <v>1022</v>
      </c>
      <c r="G23" s="511">
        <f>IF(Input!$B$73="","",Input!$B$73)</f>
      </c>
      <c r="H23" s="512"/>
      <c r="I23" s="512"/>
      <c r="J23" s="512"/>
      <c r="K23" s="513"/>
      <c r="L23" s="514"/>
      <c r="M23" s="515"/>
      <c r="N23" s="747"/>
      <c r="O23" s="255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</row>
    <row r="24" spans="1:75" ht="12.75">
      <c r="A24" s="493"/>
      <c r="B24" s="493"/>
      <c r="C24" s="496" t="s">
        <v>105</v>
      </c>
      <c r="D24" s="516">
        <f>'Setup Bm Input'!$B$34</f>
      </c>
      <c r="E24" s="498" t="str">
        <f>IF(Input!$B$6="","",IF(Input!$B$6="E","in.",IF(Input!$B$6="M","mm")))</f>
        <v>in.</v>
      </c>
      <c r="F24" s="496" t="s">
        <v>1024</v>
      </c>
      <c r="G24" s="511">
        <f>IF('Setup Bm Input'!$A$46="","",'Setup Bm Input'!$A$46)</f>
      </c>
      <c r="H24" s="512"/>
      <c r="I24" s="512"/>
      <c r="J24" s="512"/>
      <c r="K24" s="517"/>
      <c r="L24" s="518"/>
      <c r="M24" s="515"/>
      <c r="N24" s="69"/>
      <c r="O24" s="69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</row>
    <row r="25" spans="1:67" ht="12.75">
      <c r="A25" s="344"/>
      <c r="B25" s="70"/>
      <c r="C25" s="1042"/>
      <c r="D25" s="1042"/>
      <c r="E25" s="1042"/>
      <c r="F25" s="1042"/>
      <c r="G25" s="493"/>
      <c r="H25" s="493"/>
      <c r="I25" s="493"/>
      <c r="J25" s="255"/>
      <c r="K25" s="746"/>
      <c r="L25" s="693"/>
      <c r="M25" s="693"/>
      <c r="N25" s="693"/>
      <c r="O25" s="693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</row>
    <row r="26" spans="1:67" ht="12.75">
      <c r="A26" s="493"/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</row>
    <row r="27" spans="1:75" ht="12.75">
      <c r="A27" s="493"/>
      <c r="B27" s="493"/>
      <c r="C27" s="493"/>
      <c r="D27" s="493"/>
      <c r="E27" s="493"/>
      <c r="F27" s="841"/>
      <c r="G27" s="660" t="s">
        <v>923</v>
      </c>
      <c r="H27" s="842"/>
      <c r="I27" s="493"/>
      <c r="J27" s="493"/>
      <c r="K27" s="841"/>
      <c r="L27" s="843" t="s">
        <v>940</v>
      </c>
      <c r="M27" s="616"/>
      <c r="N27" s="842"/>
      <c r="O27" s="493"/>
      <c r="P27" s="286"/>
      <c r="Q27" s="286"/>
      <c r="R27" s="286"/>
      <c r="S27" s="133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</row>
    <row r="28" spans="1:75" ht="12.75">
      <c r="A28" s="844" t="s">
        <v>583</v>
      </c>
      <c r="B28" s="845"/>
      <c r="C28" s="846" t="s">
        <v>913</v>
      </c>
      <c r="D28" s="847"/>
      <c r="E28" s="699" t="s">
        <v>588</v>
      </c>
      <c r="F28" s="848" t="s">
        <v>929</v>
      </c>
      <c r="G28" s="703" t="s">
        <v>921</v>
      </c>
      <c r="H28" s="849" t="s">
        <v>922</v>
      </c>
      <c r="I28" s="778" t="s">
        <v>930</v>
      </c>
      <c r="J28" s="850" t="s">
        <v>589</v>
      </c>
      <c r="K28" s="799" t="s">
        <v>932</v>
      </c>
      <c r="L28" s="851" t="s">
        <v>934</v>
      </c>
      <c r="M28" s="851" t="s">
        <v>936</v>
      </c>
      <c r="N28" s="852" t="s">
        <v>938</v>
      </c>
      <c r="O28" s="778" t="s">
        <v>941</v>
      </c>
      <c r="P28" s="286"/>
      <c r="Q28" s="286"/>
      <c r="R28" s="286"/>
      <c r="S28" s="133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</row>
    <row r="29" spans="1:75" ht="12.75">
      <c r="A29" s="853"/>
      <c r="B29" s="854" t="s">
        <v>590</v>
      </c>
      <c r="C29" s="594" t="str">
        <f>IF(Input!$B$6="","",IF(Input!$B$6="E","Left ft.-in.",IF(Input!$B$6="M","Left meters")))</f>
        <v>Left ft.-in.</v>
      </c>
      <c r="D29" s="594" t="str">
        <f>IF(Input!$B$6="","",IF(Input!$B$6="E","Right ft.-in.",IF(Input!$B$6="M","Right meters")))</f>
        <v>Right ft.-in.</v>
      </c>
      <c r="E29" s="855" t="str">
        <f>IF(Input!$B$6="","",IF(Input!$B$6="E","in.",IF(Input!$B$6="M","mm")))</f>
        <v>in.</v>
      </c>
      <c r="F29" s="848" t="str">
        <f>IF(Input!$B$6="","",IF(Input!$B$6="E","in.",IF(Input!$B$6="M","mm")))</f>
        <v>in.</v>
      </c>
      <c r="G29" s="856" t="str">
        <f>IF(Input!$B$6="","",IF(Input!$B$6="E","in.",IF(Input!$B$6="M","mm")))</f>
        <v>in.</v>
      </c>
      <c r="H29" s="857" t="str">
        <f>IF(Input!$B$6="","",IF(Input!$B$6="E","in.",IF(Input!$B$6="M","mm")))</f>
        <v>in.</v>
      </c>
      <c r="I29" s="701" t="str">
        <f>IF(Input!$B$6="","",IF(Input!$B$6="E","in.",IF(Input!$B$6="M","mm")))</f>
        <v>in.</v>
      </c>
      <c r="J29" s="855" t="str">
        <f>IF(Input!$B$6="","",IF(Input!$B$6="E","in.",IF(Input!$B$6="M","mm")))</f>
        <v>in.</v>
      </c>
      <c r="K29" s="281" t="s">
        <v>933</v>
      </c>
      <c r="L29" s="858" t="s">
        <v>935</v>
      </c>
      <c r="M29" s="858" t="s">
        <v>937</v>
      </c>
      <c r="N29" s="859" t="s">
        <v>939</v>
      </c>
      <c r="O29" s="860" t="s">
        <v>942</v>
      </c>
      <c r="R29" s="286"/>
      <c r="S29" s="133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</row>
    <row r="30" spans="1:75" ht="12.75">
      <c r="A30" s="1038">
        <f>IF(Input!$C$64="","",Input!$C$64)</f>
      </c>
      <c r="B30" s="748" t="s">
        <v>591</v>
      </c>
      <c r="C30" s="112"/>
      <c r="D30" s="112"/>
      <c r="E30" s="299"/>
      <c r="F30" s="300"/>
      <c r="G30" s="207"/>
      <c r="H30" s="304"/>
      <c r="I30" s="302"/>
      <c r="J30" s="296"/>
      <c r="K30" s="306"/>
      <c r="L30" s="297"/>
      <c r="M30" s="297"/>
      <c r="N30" s="307"/>
      <c r="O30" s="209"/>
      <c r="R30" s="286"/>
      <c r="S30" s="133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</row>
    <row r="31" spans="1:75" ht="12.75">
      <c r="A31" s="1039"/>
      <c r="B31" s="854" t="s">
        <v>592</v>
      </c>
      <c r="C31" s="101"/>
      <c r="D31" s="101"/>
      <c r="E31" s="227"/>
      <c r="F31" s="301"/>
      <c r="G31" s="107"/>
      <c r="H31" s="305"/>
      <c r="I31" s="303"/>
      <c r="J31" s="234"/>
      <c r="K31" s="308"/>
      <c r="L31" s="298"/>
      <c r="M31" s="298"/>
      <c r="N31" s="309"/>
      <c r="O31" s="206"/>
      <c r="R31" s="286"/>
      <c r="S31" s="133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</row>
    <row r="32" spans="1:75" ht="12.75">
      <c r="A32" s="1038">
        <f>IF(Input!$C$65="","",Input!$C$65)</f>
      </c>
      <c r="B32" s="854" t="s">
        <v>591</v>
      </c>
      <c r="C32" s="101"/>
      <c r="D32" s="101"/>
      <c r="E32" s="227"/>
      <c r="F32" s="300"/>
      <c r="G32" s="207"/>
      <c r="H32" s="304"/>
      <c r="I32" s="302"/>
      <c r="J32" s="296"/>
      <c r="K32" s="306"/>
      <c r="L32" s="297"/>
      <c r="M32" s="297"/>
      <c r="N32" s="307"/>
      <c r="O32" s="209"/>
      <c r="R32" s="286"/>
      <c r="S32" s="133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</row>
    <row r="33" spans="1:75" ht="12.75">
      <c r="A33" s="1039"/>
      <c r="B33" s="854" t="s">
        <v>592</v>
      </c>
      <c r="C33" s="101"/>
      <c r="D33" s="101"/>
      <c r="E33" s="227"/>
      <c r="F33" s="301"/>
      <c r="G33" s="107"/>
      <c r="H33" s="305"/>
      <c r="I33" s="303"/>
      <c r="J33" s="234"/>
      <c r="K33" s="308"/>
      <c r="L33" s="298"/>
      <c r="M33" s="298"/>
      <c r="N33" s="309"/>
      <c r="O33" s="206"/>
      <c r="R33" s="287"/>
      <c r="S33" s="133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</row>
    <row r="34" spans="1:75" ht="12.75">
      <c r="A34" s="1038">
        <f>IF(Input!$C$66="","",Input!$C$66)</f>
      </c>
      <c r="B34" s="854" t="s">
        <v>591</v>
      </c>
      <c r="C34" s="101"/>
      <c r="D34" s="101"/>
      <c r="E34" s="227"/>
      <c r="F34" s="300"/>
      <c r="G34" s="207"/>
      <c r="H34" s="304"/>
      <c r="I34" s="302"/>
      <c r="J34" s="296"/>
      <c r="K34" s="306"/>
      <c r="L34" s="297"/>
      <c r="M34" s="297"/>
      <c r="N34" s="307"/>
      <c r="O34" s="209"/>
      <c r="R34" s="287"/>
      <c r="S34" s="133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</row>
    <row r="35" spans="1:75" ht="12.75">
      <c r="A35" s="1039"/>
      <c r="B35" s="854" t="s">
        <v>592</v>
      </c>
      <c r="C35" s="101"/>
      <c r="D35" s="101"/>
      <c r="E35" s="227"/>
      <c r="F35" s="301"/>
      <c r="G35" s="107"/>
      <c r="H35" s="305"/>
      <c r="I35" s="303"/>
      <c r="J35" s="234"/>
      <c r="K35" s="308"/>
      <c r="L35" s="298"/>
      <c r="M35" s="298"/>
      <c r="N35" s="309"/>
      <c r="O35" s="206"/>
      <c r="R35" s="65"/>
      <c r="S35" s="133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</row>
    <row r="36" spans="1:75" ht="12.75">
      <c r="A36" s="1038">
        <f>IF(Input!$C$67="","",Input!$C$67)</f>
      </c>
      <c r="B36" s="854" t="s">
        <v>591</v>
      </c>
      <c r="C36" s="101"/>
      <c r="D36" s="101"/>
      <c r="E36" s="227"/>
      <c r="F36" s="300"/>
      <c r="G36" s="207"/>
      <c r="H36" s="304"/>
      <c r="I36" s="302"/>
      <c r="J36" s="296"/>
      <c r="K36" s="306"/>
      <c r="L36" s="297"/>
      <c r="M36" s="297"/>
      <c r="N36" s="307"/>
      <c r="O36" s="209"/>
      <c r="R36" s="147"/>
      <c r="S36" s="133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</row>
    <row r="37" spans="1:75" ht="12.75">
      <c r="A37" s="1039"/>
      <c r="B37" s="854" t="s">
        <v>592</v>
      </c>
      <c r="C37" s="101"/>
      <c r="D37" s="101"/>
      <c r="E37" s="227"/>
      <c r="F37" s="301"/>
      <c r="G37" s="107"/>
      <c r="H37" s="305"/>
      <c r="I37" s="303"/>
      <c r="J37" s="234"/>
      <c r="K37" s="308"/>
      <c r="L37" s="298"/>
      <c r="M37" s="298"/>
      <c r="N37" s="309"/>
      <c r="O37" s="206"/>
      <c r="R37" s="166"/>
      <c r="S37" s="133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</row>
    <row r="38" spans="1:75" ht="12.75">
      <c r="A38" s="1038">
        <f>IF(Input!$E$64="","",Input!$E$64)</f>
      </c>
      <c r="B38" s="854" t="s">
        <v>591</v>
      </c>
      <c r="C38" s="101"/>
      <c r="D38" s="101"/>
      <c r="E38" s="227"/>
      <c r="F38" s="300"/>
      <c r="G38" s="207"/>
      <c r="H38" s="304"/>
      <c r="I38" s="302"/>
      <c r="J38" s="296"/>
      <c r="K38" s="306"/>
      <c r="L38" s="297"/>
      <c r="M38" s="297"/>
      <c r="N38" s="307"/>
      <c r="O38" s="209"/>
      <c r="R38" s="166"/>
      <c r="S38" s="133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</row>
    <row r="39" spans="1:75" ht="12.75">
      <c r="A39" s="1039"/>
      <c r="B39" s="854" t="s">
        <v>592</v>
      </c>
      <c r="C39" s="101"/>
      <c r="D39" s="101"/>
      <c r="E39" s="227"/>
      <c r="F39" s="301"/>
      <c r="G39" s="107"/>
      <c r="H39" s="305"/>
      <c r="I39" s="303"/>
      <c r="J39" s="234"/>
      <c r="K39" s="308"/>
      <c r="L39" s="298"/>
      <c r="M39" s="298"/>
      <c r="N39" s="309"/>
      <c r="O39" s="206"/>
      <c r="R39" s="288"/>
      <c r="S39" s="133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</row>
    <row r="40" spans="1:75" ht="12.75">
      <c r="A40" s="1038">
        <f>IF(Input!$E$65="","",Input!$E$65)</f>
      </c>
      <c r="B40" s="854" t="s">
        <v>591</v>
      </c>
      <c r="C40" s="101"/>
      <c r="D40" s="101"/>
      <c r="E40" s="227"/>
      <c r="F40" s="300"/>
      <c r="G40" s="207"/>
      <c r="H40" s="304"/>
      <c r="I40" s="302"/>
      <c r="J40" s="296"/>
      <c r="K40" s="306"/>
      <c r="L40" s="297"/>
      <c r="M40" s="297"/>
      <c r="N40" s="307"/>
      <c r="O40" s="209"/>
      <c r="R40" s="289"/>
      <c r="S40" s="2"/>
      <c r="T40" s="37"/>
      <c r="U40" s="2"/>
      <c r="V40" s="37"/>
      <c r="W40" s="2"/>
      <c r="X40" s="37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</row>
    <row r="41" spans="1:75" ht="12.75">
      <c r="A41" s="1039"/>
      <c r="B41" s="854" t="s">
        <v>592</v>
      </c>
      <c r="C41" s="101"/>
      <c r="D41" s="101"/>
      <c r="E41" s="227"/>
      <c r="F41" s="301"/>
      <c r="G41" s="107"/>
      <c r="H41" s="305"/>
      <c r="I41" s="303"/>
      <c r="J41" s="234"/>
      <c r="K41" s="308"/>
      <c r="L41" s="298"/>
      <c r="M41" s="298"/>
      <c r="N41" s="309"/>
      <c r="O41" s="206"/>
      <c r="R41" s="289"/>
      <c r="S41" s="133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</row>
    <row r="42" spans="1:75" ht="12.75">
      <c r="A42" s="1038">
        <f>IF(Input!$E$66="","",Input!$E$66)</f>
      </c>
      <c r="B42" s="854" t="s">
        <v>591</v>
      </c>
      <c r="C42" s="101"/>
      <c r="D42" s="101"/>
      <c r="E42" s="227"/>
      <c r="F42" s="300"/>
      <c r="G42" s="207"/>
      <c r="H42" s="304"/>
      <c r="I42" s="302"/>
      <c r="J42" s="296"/>
      <c r="K42" s="306"/>
      <c r="L42" s="297"/>
      <c r="M42" s="297"/>
      <c r="N42" s="307"/>
      <c r="O42" s="209"/>
      <c r="R42" s="40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</row>
    <row r="43" spans="1:75" ht="12.75">
      <c r="A43" s="1039"/>
      <c r="B43" s="854" t="s">
        <v>592</v>
      </c>
      <c r="C43" s="101"/>
      <c r="D43" s="101"/>
      <c r="E43" s="227"/>
      <c r="F43" s="301"/>
      <c r="G43" s="107"/>
      <c r="H43" s="305"/>
      <c r="I43" s="303"/>
      <c r="J43" s="234"/>
      <c r="K43" s="308"/>
      <c r="L43" s="298"/>
      <c r="M43" s="298"/>
      <c r="N43" s="309"/>
      <c r="O43" s="206"/>
      <c r="R43" s="40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</row>
    <row r="44" spans="1:75" ht="12.75">
      <c r="A44" s="1038">
        <f>IF(Input!$E$67="","",Input!$E$67)</f>
      </c>
      <c r="B44" s="854" t="s">
        <v>591</v>
      </c>
      <c r="C44" s="101"/>
      <c r="D44" s="101"/>
      <c r="E44" s="227"/>
      <c r="F44" s="300"/>
      <c r="G44" s="207"/>
      <c r="H44" s="304"/>
      <c r="I44" s="302"/>
      <c r="J44" s="296"/>
      <c r="K44" s="306"/>
      <c r="L44" s="297"/>
      <c r="M44" s="297"/>
      <c r="N44" s="307"/>
      <c r="O44" s="209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</row>
    <row r="45" spans="1:75" ht="12.75">
      <c r="A45" s="1039"/>
      <c r="B45" s="854" t="s">
        <v>592</v>
      </c>
      <c r="C45" s="101"/>
      <c r="D45" s="101"/>
      <c r="E45" s="227"/>
      <c r="F45" s="301"/>
      <c r="G45" s="107"/>
      <c r="H45" s="305"/>
      <c r="I45" s="303"/>
      <c r="J45" s="234"/>
      <c r="K45" s="308"/>
      <c r="L45" s="298"/>
      <c r="M45" s="298"/>
      <c r="N45" s="309"/>
      <c r="O45" s="206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</row>
    <row r="46" spans="1:75" ht="12.75">
      <c r="A46" s="493"/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</row>
    <row r="47" spans="1:75" ht="12.75">
      <c r="A47" s="493"/>
      <c r="B47" s="493"/>
      <c r="C47" s="493"/>
      <c r="D47" s="493"/>
      <c r="E47" s="530"/>
      <c r="F47" s="549"/>
      <c r="G47" s="530"/>
      <c r="H47" s="493"/>
      <c r="I47" s="841"/>
      <c r="J47" s="843" t="s">
        <v>962</v>
      </c>
      <c r="K47" s="616"/>
      <c r="L47" s="616"/>
      <c r="M47" s="841" t="s">
        <v>964</v>
      </c>
      <c r="N47" s="616"/>
      <c r="O47" s="861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</row>
    <row r="48" spans="1:75" ht="12.75">
      <c r="A48" s="844" t="s">
        <v>583</v>
      </c>
      <c r="B48" s="748"/>
      <c r="C48" s="862" t="s">
        <v>945</v>
      </c>
      <c r="D48" s="862"/>
      <c r="E48" s="863" t="s">
        <v>949</v>
      </c>
      <c r="F48" s="862"/>
      <c r="G48" s="864" t="s">
        <v>952</v>
      </c>
      <c r="H48" s="865"/>
      <c r="I48" s="866" t="s">
        <v>955</v>
      </c>
      <c r="J48" s="867" t="s">
        <v>957</v>
      </c>
      <c r="K48" s="867" t="s">
        <v>958</v>
      </c>
      <c r="L48" s="868" t="s">
        <v>960</v>
      </c>
      <c r="M48" s="798" t="s">
        <v>567</v>
      </c>
      <c r="N48" s="869" t="s">
        <v>663</v>
      </c>
      <c r="O48" s="870" t="s">
        <v>943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</row>
    <row r="49" spans="1:75" ht="12.75">
      <c r="A49" s="853"/>
      <c r="B49" s="856" t="s">
        <v>946</v>
      </c>
      <c r="C49" s="856" t="s">
        <v>947</v>
      </c>
      <c r="D49" s="855" t="s">
        <v>948</v>
      </c>
      <c r="E49" s="871" t="s">
        <v>950</v>
      </c>
      <c r="F49" s="872" t="s">
        <v>951</v>
      </c>
      <c r="G49" s="873" t="s">
        <v>954</v>
      </c>
      <c r="H49" s="874" t="s">
        <v>953</v>
      </c>
      <c r="I49" s="873" t="s">
        <v>956</v>
      </c>
      <c r="J49" s="875" t="s">
        <v>956</v>
      </c>
      <c r="K49" s="875" t="s">
        <v>959</v>
      </c>
      <c r="L49" s="876" t="s">
        <v>961</v>
      </c>
      <c r="M49" s="877" t="s">
        <v>963</v>
      </c>
      <c r="N49" s="878"/>
      <c r="O49" s="879" t="s">
        <v>944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</row>
    <row r="50" spans="1:75" ht="12.75">
      <c r="A50" s="1038">
        <f>IF(Input!$C$64="","",Input!$C$64)</f>
      </c>
      <c r="B50" s="112"/>
      <c r="C50" s="112"/>
      <c r="D50" s="299"/>
      <c r="E50" s="311"/>
      <c r="F50" s="313"/>
      <c r="G50" s="311"/>
      <c r="H50" s="313"/>
      <c r="I50" s="306"/>
      <c r="J50" s="297"/>
      <c r="K50" s="297"/>
      <c r="L50" s="307"/>
      <c r="M50" s="209"/>
      <c r="N50" s="208"/>
      <c r="O50" s="316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</row>
    <row r="51" spans="1:75" ht="12.75">
      <c r="A51" s="1039"/>
      <c r="B51" s="101"/>
      <c r="C51" s="101"/>
      <c r="D51" s="227"/>
      <c r="E51" s="310"/>
      <c r="F51" s="312"/>
      <c r="G51" s="310"/>
      <c r="H51" s="312"/>
      <c r="I51" s="308"/>
      <c r="J51" s="298"/>
      <c r="K51" s="298"/>
      <c r="L51" s="309"/>
      <c r="M51" s="206"/>
      <c r="N51" s="55"/>
      <c r="O51" s="317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</row>
    <row r="52" spans="1:75" ht="12.75">
      <c r="A52" s="1038">
        <f>IF(Input!$C$65="","",Input!$C$65)</f>
      </c>
      <c r="B52" s="101"/>
      <c r="C52" s="101"/>
      <c r="D52" s="227"/>
      <c r="E52" s="311"/>
      <c r="F52" s="313"/>
      <c r="G52" s="311"/>
      <c r="H52" s="313"/>
      <c r="I52" s="306"/>
      <c r="J52" s="297"/>
      <c r="K52" s="297"/>
      <c r="L52" s="307"/>
      <c r="M52" s="209"/>
      <c r="N52" s="208"/>
      <c r="O52" s="316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</row>
    <row r="53" spans="1:75" ht="12.75">
      <c r="A53" s="1039"/>
      <c r="B53" s="101"/>
      <c r="C53" s="101"/>
      <c r="D53" s="227"/>
      <c r="E53" s="310"/>
      <c r="F53" s="312"/>
      <c r="G53" s="310"/>
      <c r="H53" s="312"/>
      <c r="I53" s="308"/>
      <c r="J53" s="298"/>
      <c r="K53" s="298"/>
      <c r="L53" s="309"/>
      <c r="M53" s="206"/>
      <c r="N53" s="55"/>
      <c r="O53" s="317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</row>
    <row r="54" spans="1:75" ht="12.75">
      <c r="A54" s="1038">
        <f>IF(Input!$C$66="","",Input!$C$66)</f>
      </c>
      <c r="B54" s="101"/>
      <c r="C54" s="101"/>
      <c r="D54" s="227"/>
      <c r="E54" s="311"/>
      <c r="F54" s="313"/>
      <c r="G54" s="311"/>
      <c r="H54" s="313"/>
      <c r="I54" s="306"/>
      <c r="J54" s="297"/>
      <c r="K54" s="297"/>
      <c r="L54" s="307"/>
      <c r="M54" s="209"/>
      <c r="N54" s="208"/>
      <c r="O54" s="316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</row>
    <row r="55" spans="1:75" ht="12.75">
      <c r="A55" s="1039"/>
      <c r="B55" s="101"/>
      <c r="C55" s="101"/>
      <c r="D55" s="227"/>
      <c r="E55" s="310"/>
      <c r="F55" s="312"/>
      <c r="G55" s="310"/>
      <c r="H55" s="312"/>
      <c r="I55" s="308"/>
      <c r="J55" s="298"/>
      <c r="K55" s="298"/>
      <c r="L55" s="309"/>
      <c r="M55" s="206"/>
      <c r="N55" s="55"/>
      <c r="O55" s="317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</row>
    <row r="56" spans="1:75" ht="12.75">
      <c r="A56" s="1038">
        <f>IF(Input!$C$67="","",Input!$C$67)</f>
      </c>
      <c r="B56" s="101"/>
      <c r="C56" s="101"/>
      <c r="D56" s="227"/>
      <c r="E56" s="311"/>
      <c r="F56" s="313"/>
      <c r="G56" s="311"/>
      <c r="H56" s="313"/>
      <c r="I56" s="306"/>
      <c r="J56" s="297"/>
      <c r="K56" s="297"/>
      <c r="L56" s="307"/>
      <c r="M56" s="209"/>
      <c r="N56" s="208"/>
      <c r="O56" s="316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</row>
    <row r="57" spans="1:75" ht="12.75">
      <c r="A57" s="1039"/>
      <c r="B57" s="101"/>
      <c r="C57" s="101"/>
      <c r="D57" s="227"/>
      <c r="E57" s="310"/>
      <c r="F57" s="312"/>
      <c r="G57" s="310"/>
      <c r="H57" s="312"/>
      <c r="I57" s="308"/>
      <c r="J57" s="298"/>
      <c r="K57" s="298"/>
      <c r="L57" s="309"/>
      <c r="M57" s="206"/>
      <c r="N57" s="55"/>
      <c r="O57" s="317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</row>
    <row r="58" spans="1:75" ht="12.75">
      <c r="A58" s="1038">
        <f>IF(Input!$E$64="","",Input!$E$64)</f>
      </c>
      <c r="B58" s="101"/>
      <c r="C58" s="101"/>
      <c r="D58" s="227"/>
      <c r="E58" s="311"/>
      <c r="F58" s="313"/>
      <c r="G58" s="311"/>
      <c r="H58" s="313"/>
      <c r="I58" s="306"/>
      <c r="J58" s="297"/>
      <c r="K58" s="297"/>
      <c r="L58" s="307"/>
      <c r="M58" s="209"/>
      <c r="N58" s="208"/>
      <c r="O58" s="316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</row>
    <row r="59" spans="1:75" ht="12.75">
      <c r="A59" s="1039"/>
      <c r="B59" s="101"/>
      <c r="C59" s="101"/>
      <c r="D59" s="227"/>
      <c r="E59" s="310"/>
      <c r="F59" s="312"/>
      <c r="G59" s="310"/>
      <c r="H59" s="312"/>
      <c r="I59" s="308"/>
      <c r="J59" s="298"/>
      <c r="K59" s="298"/>
      <c r="L59" s="309"/>
      <c r="M59" s="206"/>
      <c r="N59" s="55"/>
      <c r="O59" s="317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</row>
    <row r="60" spans="1:75" ht="12.75">
      <c r="A60" s="1038">
        <f>IF(Input!$E$65="","",Input!$E$65)</f>
      </c>
      <c r="B60" s="101"/>
      <c r="C60" s="101"/>
      <c r="D60" s="227"/>
      <c r="E60" s="311"/>
      <c r="F60" s="313"/>
      <c r="G60" s="311"/>
      <c r="H60" s="313"/>
      <c r="I60" s="306"/>
      <c r="J60" s="297"/>
      <c r="K60" s="297"/>
      <c r="L60" s="307"/>
      <c r="M60" s="209"/>
      <c r="N60" s="208"/>
      <c r="O60" s="316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</row>
    <row r="61" spans="1:75" ht="12.75">
      <c r="A61" s="1039"/>
      <c r="B61" s="101"/>
      <c r="C61" s="101"/>
      <c r="D61" s="227"/>
      <c r="E61" s="310"/>
      <c r="F61" s="312"/>
      <c r="G61" s="310"/>
      <c r="H61" s="312"/>
      <c r="I61" s="308"/>
      <c r="J61" s="298"/>
      <c r="K61" s="298"/>
      <c r="L61" s="309"/>
      <c r="M61" s="206"/>
      <c r="N61" s="55"/>
      <c r="O61" s="317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</row>
    <row r="62" spans="1:75" ht="12.75">
      <c r="A62" s="1038">
        <f>IF(Input!$E$66="","",Input!$E$66)</f>
      </c>
      <c r="B62" s="101"/>
      <c r="C62" s="101"/>
      <c r="D62" s="227"/>
      <c r="E62" s="311"/>
      <c r="F62" s="313"/>
      <c r="G62" s="311"/>
      <c r="H62" s="313"/>
      <c r="I62" s="306"/>
      <c r="J62" s="297"/>
      <c r="K62" s="297"/>
      <c r="L62" s="307"/>
      <c r="M62" s="209"/>
      <c r="N62" s="208"/>
      <c r="O62" s="316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</row>
    <row r="63" spans="1:75" ht="12.75">
      <c r="A63" s="1039"/>
      <c r="B63" s="101"/>
      <c r="C63" s="101"/>
      <c r="D63" s="227"/>
      <c r="E63" s="310"/>
      <c r="F63" s="312"/>
      <c r="G63" s="310"/>
      <c r="H63" s="312"/>
      <c r="I63" s="308"/>
      <c r="J63" s="298"/>
      <c r="K63" s="298"/>
      <c r="L63" s="309"/>
      <c r="M63" s="206"/>
      <c r="N63" s="55"/>
      <c r="O63" s="317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</row>
    <row r="64" spans="1:75" ht="12.75">
      <c r="A64" s="1038">
        <f>IF(Input!$E$67="","",Input!$E$67)</f>
      </c>
      <c r="B64" s="101"/>
      <c r="C64" s="101"/>
      <c r="D64" s="227"/>
      <c r="E64" s="311"/>
      <c r="F64" s="313"/>
      <c r="G64" s="311"/>
      <c r="H64" s="313"/>
      <c r="I64" s="306"/>
      <c r="J64" s="297"/>
      <c r="K64" s="297"/>
      <c r="L64" s="307"/>
      <c r="M64" s="209"/>
      <c r="N64" s="208"/>
      <c r="O64" s="316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</row>
    <row r="65" spans="1:75" ht="12.75">
      <c r="A65" s="1039"/>
      <c r="B65" s="101"/>
      <c r="C65" s="101"/>
      <c r="D65" s="227"/>
      <c r="E65" s="310"/>
      <c r="F65" s="312"/>
      <c r="G65" s="310"/>
      <c r="H65" s="312"/>
      <c r="I65" s="308"/>
      <c r="J65" s="298"/>
      <c r="K65" s="298"/>
      <c r="L65" s="309"/>
      <c r="M65" s="206"/>
      <c r="N65" s="55"/>
      <c r="O65" s="317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</row>
    <row r="66" spans="1:75" ht="12.75">
      <c r="A66" s="493"/>
      <c r="B66" s="493"/>
      <c r="C66" s="493"/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</row>
    <row r="67" spans="1:75" ht="12.75">
      <c r="A67" s="494" t="s">
        <v>822</v>
      </c>
      <c r="B67" s="493"/>
      <c r="C67" s="493"/>
      <c r="D67" s="493"/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3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</row>
    <row r="68" spans="1:75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</row>
    <row r="69" spans="1:75" ht="12.75">
      <c r="A69" s="747" t="s">
        <v>99</v>
      </c>
      <c r="B69" s="73" t="s">
        <v>138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</row>
    <row r="70" spans="1:75" ht="12.75">
      <c r="A70" s="355"/>
      <c r="B70" s="355"/>
      <c r="C70" s="355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</row>
    <row r="71" spans="1:75" ht="12.75">
      <c r="A71" s="66"/>
      <c r="B71" s="66"/>
      <c r="C71" s="1043"/>
      <c r="D71" s="1044"/>
      <c r="E71" s="66"/>
      <c r="F71" s="66"/>
      <c r="G71" s="66"/>
      <c r="H71" s="66"/>
      <c r="I71" s="66"/>
      <c r="J71" s="66"/>
      <c r="K71" s="66"/>
      <c r="L71" s="493"/>
      <c r="M71" s="493"/>
      <c r="N71" s="493"/>
      <c r="O71" s="493"/>
      <c r="P71" s="8"/>
      <c r="Q71" s="20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</row>
    <row r="72" spans="1:75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747" t="s">
        <v>593</v>
      </c>
      <c r="L72" s="880">
        <f>IF(Input!E14="","",Input!E14)</f>
      </c>
      <c r="M72" s="881"/>
      <c r="N72" s="493"/>
      <c r="O72" s="493"/>
      <c r="P72" s="76"/>
      <c r="Q72" s="76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</row>
    <row r="73" spans="1:75" ht="12.75">
      <c r="A73" s="22" t="s">
        <v>1274</v>
      </c>
      <c r="B73" s="66"/>
      <c r="C73" s="494"/>
      <c r="D73" s="494"/>
      <c r="E73" s="494"/>
      <c r="F73" s="494"/>
      <c r="G73" s="494"/>
      <c r="H73" s="494"/>
      <c r="I73" s="494"/>
      <c r="J73" s="494"/>
      <c r="K73" s="494"/>
      <c r="L73" s="494"/>
      <c r="M73" s="494"/>
      <c r="N73" s="494"/>
      <c r="O73" s="494"/>
      <c r="P73" s="65"/>
      <c r="Q73" s="65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</row>
    <row r="74" spans="1:75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65"/>
      <c r="Q74" s="65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</row>
    <row r="75" spans="1:75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Q75" s="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</row>
    <row r="76" spans="1:75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40"/>
      <c r="Q76" s="40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</row>
    <row r="77" spans="16:75" ht="12.75">
      <c r="P77" s="18"/>
      <c r="Q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</row>
    <row r="78" spans="16:75" ht="12.75">
      <c r="P78" s="18"/>
      <c r="Q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</row>
    <row r="79" spans="16:75" ht="12.75">
      <c r="P79" s="18"/>
      <c r="Q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</row>
    <row r="80" spans="20:75" ht="12.75"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</row>
    <row r="81" spans="20:75" ht="12.75"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</row>
    <row r="82" spans="1:75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</row>
    <row r="83" spans="1:75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</row>
    <row r="84" spans="1:75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</row>
    <row r="85" spans="1:75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</row>
    <row r="86" spans="1:75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</row>
    <row r="87" spans="1:75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</row>
    <row r="88" spans="1:75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</row>
    <row r="89" spans="1:75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</row>
    <row r="90" spans="16:75" ht="12.75"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</row>
    <row r="91" spans="16:75" ht="12.75"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</row>
    <row r="92" spans="16:75" ht="12.75"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</row>
    <row r="93" spans="16:75" ht="12.75"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</row>
    <row r="94" spans="16:75" ht="12.75"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</row>
    <row r="95" spans="16:75" ht="12.75"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</row>
    <row r="96" spans="1:75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</row>
    <row r="97" spans="1:75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</row>
    <row r="98" spans="1:75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</row>
    <row r="99" spans="1:75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</row>
    <row r="100" spans="1:75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</row>
    <row r="101" spans="1:75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</row>
    <row r="102" spans="1:75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</row>
    <row r="103" spans="1:75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</row>
    <row r="104" spans="1:75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</row>
    <row r="105" spans="1:75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</row>
    <row r="106" spans="1:75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</row>
    <row r="107" spans="1:75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</row>
    <row r="108" spans="1:75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</row>
    <row r="109" spans="1:75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</row>
    <row r="110" spans="1:75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</row>
    <row r="111" spans="1:75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</row>
    <row r="112" spans="1:75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</row>
    <row r="113" spans="1:75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</row>
    <row r="114" spans="1:75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</row>
    <row r="115" spans="1:75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</row>
    <row r="116" spans="1:75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</row>
    <row r="117" spans="1:75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</row>
    <row r="118" spans="1:75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</row>
    <row r="119" spans="1:75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</row>
    <row r="152" spans="1:19" ht="12.75">
      <c r="A152" s="8"/>
      <c r="B152" s="40"/>
      <c r="J152" s="72"/>
      <c r="K152" s="65"/>
      <c r="L152" s="1045"/>
      <c r="M152" s="1045"/>
      <c r="N152" s="65"/>
      <c r="O152" s="8"/>
      <c r="P152" s="8"/>
      <c r="Q152" s="8"/>
      <c r="R152" s="8"/>
      <c r="S152" s="18"/>
    </row>
    <row r="153" spans="1:19" ht="12.75">
      <c r="A153" s="8"/>
      <c r="B153" s="8"/>
      <c r="J153" s="40"/>
      <c r="K153" s="65"/>
      <c r="L153" s="74"/>
      <c r="M153" s="290"/>
      <c r="N153" s="153"/>
      <c r="O153" s="40"/>
      <c r="P153" s="8"/>
      <c r="Q153" s="8"/>
      <c r="R153" s="8"/>
      <c r="S153" s="18"/>
    </row>
    <row r="154" spans="1:19" ht="12.75">
      <c r="A154" s="8"/>
      <c r="B154" s="8"/>
      <c r="J154" s="40"/>
      <c r="K154" s="65"/>
      <c r="L154" s="74"/>
      <c r="M154" s="291"/>
      <c r="N154" s="153"/>
      <c r="O154" s="40"/>
      <c r="P154" s="8"/>
      <c r="Q154" s="8"/>
      <c r="R154" s="8"/>
      <c r="S154" s="18"/>
    </row>
    <row r="155" spans="1:19" ht="12.75">
      <c r="A155" s="8"/>
      <c r="B155" s="8"/>
      <c r="J155" s="40"/>
      <c r="K155" s="65"/>
      <c r="L155" s="74"/>
      <c r="M155" s="292"/>
      <c r="N155" s="153"/>
      <c r="O155" s="40"/>
      <c r="P155" s="8"/>
      <c r="Q155" s="8"/>
      <c r="R155" s="8"/>
      <c r="S155" s="18"/>
    </row>
    <row r="156" spans="1:19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18"/>
    </row>
    <row r="157" spans="1:19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18"/>
    </row>
    <row r="158" spans="18:19" ht="12.75">
      <c r="R158" s="8"/>
      <c r="S158" s="18"/>
    </row>
    <row r="159" spans="18:19" ht="12.75">
      <c r="R159" s="8"/>
      <c r="S159" s="18"/>
    </row>
    <row r="160" spans="18:19" ht="12.75">
      <c r="R160" s="8"/>
      <c r="S160" s="18"/>
    </row>
    <row r="161" spans="18:19" ht="12.75">
      <c r="R161" s="8"/>
      <c r="S161" s="18"/>
    </row>
    <row r="162" spans="18:19" ht="12.75">
      <c r="R162" s="8"/>
      <c r="S162" s="18"/>
    </row>
    <row r="163" spans="18:19" ht="12.75">
      <c r="R163" s="8"/>
      <c r="S163" s="18"/>
    </row>
    <row r="164" spans="18:19" ht="12.75">
      <c r="R164" s="8"/>
      <c r="S164" s="18"/>
    </row>
    <row r="165" spans="18:19" ht="12.75">
      <c r="R165" s="8"/>
      <c r="S165" s="18"/>
    </row>
    <row r="166" spans="18:19" ht="12.75">
      <c r="R166" s="8"/>
      <c r="S166" s="18"/>
    </row>
    <row r="167" spans="18:19" ht="12.75">
      <c r="R167" s="8"/>
      <c r="S167" s="18"/>
    </row>
    <row r="168" spans="18:19" ht="12.75">
      <c r="R168" s="8"/>
      <c r="S168" s="18"/>
    </row>
    <row r="169" spans="18:19" ht="12.75">
      <c r="R169" s="8"/>
      <c r="S169" s="18"/>
    </row>
    <row r="170" spans="18:19" ht="12.75">
      <c r="R170" s="8"/>
      <c r="S170" s="18"/>
    </row>
    <row r="171" spans="18:19" ht="12.75">
      <c r="R171" s="8"/>
      <c r="S171" s="18"/>
    </row>
    <row r="172" spans="18:19" ht="12.75">
      <c r="R172" s="8"/>
      <c r="S172" s="18"/>
    </row>
    <row r="173" spans="18:19" ht="12.75">
      <c r="R173" s="8"/>
      <c r="S173" s="18"/>
    </row>
    <row r="174" spans="18:19" ht="12.75">
      <c r="R174" s="8"/>
      <c r="S174" s="18"/>
    </row>
    <row r="175" spans="18:19" ht="12.75">
      <c r="R175" s="8"/>
      <c r="S175" s="18"/>
    </row>
    <row r="176" spans="18:19" ht="12.75">
      <c r="R176" s="8"/>
      <c r="S176" s="18"/>
    </row>
    <row r="177" spans="18:19" ht="12.75">
      <c r="R177" s="8"/>
      <c r="S177" s="18"/>
    </row>
    <row r="178" spans="18:19" ht="12.75">
      <c r="R178" s="8"/>
      <c r="S178" s="18"/>
    </row>
    <row r="179" spans="18:19" ht="12.75">
      <c r="R179" s="8"/>
      <c r="S179" s="18"/>
    </row>
    <row r="180" spans="18:19" ht="12.75">
      <c r="R180" s="8"/>
      <c r="S180" s="18"/>
    </row>
    <row r="181" spans="18:19" ht="12.75">
      <c r="R181" s="40"/>
      <c r="S181" s="18"/>
    </row>
    <row r="182" spans="18:19" ht="12.75">
      <c r="R182" s="18"/>
      <c r="S182" s="18"/>
    </row>
    <row r="183" spans="18:19" ht="12.75">
      <c r="R183" s="18"/>
      <c r="S183" s="18"/>
    </row>
    <row r="184" spans="18:19" ht="12.75">
      <c r="R184" s="18"/>
      <c r="S184" s="18"/>
    </row>
    <row r="185" spans="18:19" ht="12.75">
      <c r="R185" s="18"/>
      <c r="S185" s="18"/>
    </row>
    <row r="186" spans="18:19" ht="12.75">
      <c r="R186" s="18"/>
      <c r="S186" s="18"/>
    </row>
    <row r="187" spans="18:19" ht="12.75">
      <c r="R187" s="18"/>
      <c r="S187" s="18"/>
    </row>
    <row r="188" spans="18:19" ht="12.75">
      <c r="R188" s="18"/>
      <c r="S188" s="18"/>
    </row>
    <row r="189" spans="1:19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356" spans="1:15" ht="12.7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</row>
    <row r="357" spans="1:15" ht="12.7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</row>
    <row r="358" spans="1:15" ht="12.7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</row>
  </sheetData>
  <sheetProtection sheet="1" objects="1" scenarios="1"/>
  <mergeCells count="27">
    <mergeCell ref="L152:M152"/>
    <mergeCell ref="F14:F17"/>
    <mergeCell ref="A42:A43"/>
    <mergeCell ref="A34:A35"/>
    <mergeCell ref="A52:A53"/>
    <mergeCell ref="A54:A55"/>
    <mergeCell ref="A36:A37"/>
    <mergeCell ref="A40:A41"/>
    <mergeCell ref="A38:A39"/>
    <mergeCell ref="A30:A31"/>
    <mergeCell ref="C71:D71"/>
    <mergeCell ref="A44:A45"/>
    <mergeCell ref="A56:A57"/>
    <mergeCell ref="A58:A59"/>
    <mergeCell ref="A60:A61"/>
    <mergeCell ref="A62:A63"/>
    <mergeCell ref="A64:A65"/>
    <mergeCell ref="A50:A51"/>
    <mergeCell ref="A32:A33"/>
    <mergeCell ref="E1:G1"/>
    <mergeCell ref="C3:E3"/>
    <mergeCell ref="C25:D25"/>
    <mergeCell ref="E25:F25"/>
    <mergeCell ref="A12:O12"/>
    <mergeCell ref="A13:O13"/>
    <mergeCell ref="A10:O10"/>
    <mergeCell ref="A11:O11"/>
  </mergeCells>
  <printOptions horizontalCentered="1" verticalCentered="1"/>
  <pageMargins left="0.5" right="0.5" top="0.5" bottom="0.5" header="0" footer="0"/>
  <pageSetup fitToHeight="1" fitToWidth="1" horizontalDpi="600" verticalDpi="600" orientation="landscape" scale="6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W1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3" max="3" width="9.7109375" style="0" customWidth="1"/>
    <col min="4" max="4" width="16.7109375" style="0" customWidth="1"/>
    <col min="5" max="5" width="10.7109375" style="0" customWidth="1"/>
    <col min="6" max="6" width="10.421875" style="0" customWidth="1"/>
    <col min="7" max="7" width="12.57421875" style="0" customWidth="1"/>
    <col min="8" max="18" width="10.7109375" style="0" customWidth="1"/>
  </cols>
  <sheetData>
    <row r="1" spans="1:17" ht="15.75">
      <c r="A1" s="834"/>
      <c r="B1" s="835"/>
      <c r="C1" s="493"/>
      <c r="D1" s="493"/>
      <c r="E1" s="1023" t="s">
        <v>861</v>
      </c>
      <c r="F1" s="1024"/>
      <c r="G1" s="1024"/>
      <c r="H1" s="493"/>
      <c r="I1" s="493"/>
      <c r="J1" s="493"/>
      <c r="K1" s="493"/>
      <c r="L1" s="493"/>
      <c r="M1" s="493"/>
      <c r="N1" s="493"/>
      <c r="O1" s="493"/>
      <c r="P1" s="493"/>
      <c r="Q1" s="493"/>
    </row>
    <row r="2" spans="1:17" ht="15.75">
      <c r="A2" s="706" t="s">
        <v>919</v>
      </c>
      <c r="B2" s="705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</row>
    <row r="3" spans="1:17" ht="12.75">
      <c r="A3" s="545"/>
      <c r="B3" s="545"/>
      <c r="C3" s="1040"/>
      <c r="D3" s="1041"/>
      <c r="E3" s="1041"/>
      <c r="F3" s="545"/>
      <c r="G3" s="545"/>
      <c r="H3" s="545"/>
      <c r="I3" s="493"/>
      <c r="J3" s="493"/>
      <c r="K3" s="493"/>
      <c r="L3" s="493"/>
      <c r="M3" s="493"/>
      <c r="N3" s="493"/>
      <c r="O3" s="493"/>
      <c r="P3" s="493"/>
      <c r="Q3" s="493"/>
    </row>
    <row r="4" spans="1:75" ht="12.75">
      <c r="A4" s="70"/>
      <c r="B4" s="545"/>
      <c r="C4" s="741"/>
      <c r="D4" s="741"/>
      <c r="E4" s="131"/>
      <c r="F4" s="70"/>
      <c r="G4" s="70"/>
      <c r="H4" s="70"/>
      <c r="I4" s="66"/>
      <c r="J4" s="66"/>
      <c r="K4" s="66"/>
      <c r="L4" s="66"/>
      <c r="M4" s="66"/>
      <c r="N4" s="66"/>
      <c r="O4" s="66"/>
      <c r="P4" s="66"/>
      <c r="Q4" s="66"/>
      <c r="R4" s="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</row>
    <row r="5" spans="1:75" ht="12.75">
      <c r="A5" s="741"/>
      <c r="B5" s="837"/>
      <c r="C5" s="705"/>
      <c r="D5" s="741"/>
      <c r="E5" s="836"/>
      <c r="F5" s="545"/>
      <c r="G5" s="705"/>
      <c r="H5" s="705"/>
      <c r="I5" s="705"/>
      <c r="J5" s="705"/>
      <c r="K5" s="705"/>
      <c r="L5" s="705"/>
      <c r="M5" s="705"/>
      <c r="N5" s="545"/>
      <c r="O5" s="66"/>
      <c r="P5" s="66"/>
      <c r="Q5" s="66"/>
      <c r="R5" s="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1:75" ht="12.75">
      <c r="A6" s="838"/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545"/>
      <c r="O6" s="66"/>
      <c r="P6" s="66"/>
      <c r="Q6" s="66"/>
      <c r="R6" s="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7" spans="1:75" ht="12.75">
      <c r="A7" s="66" t="s">
        <v>114</v>
      </c>
      <c r="B7" s="66"/>
      <c r="C7" s="66"/>
      <c r="D7" s="66"/>
      <c r="E7" s="66"/>
      <c r="F7" s="70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</row>
    <row r="8" spans="1:75" ht="4.5" customHeight="1">
      <c r="A8" s="91"/>
      <c r="B8" s="92"/>
      <c r="C8" s="92"/>
      <c r="D8" s="92"/>
      <c r="E8" s="92"/>
      <c r="F8" s="839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65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</row>
    <row r="9" spans="1:75" ht="12.75">
      <c r="A9" s="66" t="s">
        <v>920</v>
      </c>
      <c r="B9" s="66"/>
      <c r="C9" s="66"/>
      <c r="D9" s="66"/>
      <c r="E9" s="66"/>
      <c r="F9" s="66"/>
      <c r="G9" s="493"/>
      <c r="H9" s="66"/>
      <c r="I9" s="66"/>
      <c r="J9" s="66"/>
      <c r="K9" s="66"/>
      <c r="L9" s="66"/>
      <c r="M9" s="66"/>
      <c r="N9" s="66"/>
      <c r="O9" s="66"/>
      <c r="P9" s="7" t="s">
        <v>1310</v>
      </c>
      <c r="Q9" s="66"/>
      <c r="R9" s="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</row>
    <row r="10" spans="1:75" ht="15.75">
      <c r="A10" s="1025" t="s">
        <v>84</v>
      </c>
      <c r="B10" s="1026"/>
      <c r="C10" s="1026"/>
      <c r="D10" s="1026"/>
      <c r="E10" s="1026"/>
      <c r="F10" s="1026"/>
      <c r="G10" s="1026"/>
      <c r="H10" s="1026"/>
      <c r="I10" s="1026"/>
      <c r="J10" s="1026"/>
      <c r="K10" s="1026"/>
      <c r="L10" s="1026"/>
      <c r="M10" s="1026"/>
      <c r="N10" s="1026"/>
      <c r="O10" s="1026"/>
      <c r="P10" s="1026"/>
      <c r="Q10" s="1026"/>
      <c r="R10" s="65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1:75" ht="12.75">
      <c r="A11" s="1027" t="s">
        <v>101</v>
      </c>
      <c r="B11" s="1026"/>
      <c r="C11" s="1026"/>
      <c r="D11" s="1026"/>
      <c r="E11" s="1026"/>
      <c r="F11" s="1026"/>
      <c r="G11" s="1026"/>
      <c r="H11" s="1026"/>
      <c r="I11" s="1026"/>
      <c r="J11" s="1026"/>
      <c r="K11" s="1026"/>
      <c r="L11" s="1026"/>
      <c r="M11" s="1026"/>
      <c r="N11" s="1026"/>
      <c r="O11" s="1026"/>
      <c r="P11" s="1026"/>
      <c r="Q11" s="1026"/>
      <c r="R11" s="65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</row>
    <row r="12" spans="1:75" ht="12.75">
      <c r="A12" s="1027" t="s">
        <v>102</v>
      </c>
      <c r="B12" s="1026"/>
      <c r="C12" s="1026"/>
      <c r="D12" s="1026"/>
      <c r="E12" s="1026"/>
      <c r="F12" s="1026"/>
      <c r="G12" s="1026"/>
      <c r="H12" s="1026"/>
      <c r="I12" s="1026"/>
      <c r="J12" s="1026"/>
      <c r="K12" s="1026"/>
      <c r="L12" s="1026"/>
      <c r="M12" s="1026"/>
      <c r="N12" s="1026"/>
      <c r="O12" s="1026"/>
      <c r="P12" s="1026"/>
      <c r="Q12" s="1026"/>
      <c r="R12" s="65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</row>
    <row r="13" spans="1:75" ht="12.75">
      <c r="A13" s="1030" t="s">
        <v>1268</v>
      </c>
      <c r="B13" s="1026"/>
      <c r="C13" s="1026"/>
      <c r="D13" s="1026"/>
      <c r="E13" s="1026"/>
      <c r="F13" s="1026"/>
      <c r="G13" s="1026"/>
      <c r="H13" s="1026"/>
      <c r="I13" s="1026"/>
      <c r="J13" s="1026"/>
      <c r="K13" s="1026"/>
      <c r="L13" s="1026"/>
      <c r="M13" s="1026"/>
      <c r="N13" s="1026"/>
      <c r="O13" s="1026"/>
      <c r="P13" s="1026"/>
      <c r="Q13" s="1026"/>
      <c r="R13" s="65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</row>
    <row r="14" spans="1:75" ht="12.75">
      <c r="A14" s="493"/>
      <c r="B14" s="493"/>
      <c r="C14" s="493"/>
      <c r="D14" s="496" t="s">
        <v>1003</v>
      </c>
      <c r="E14" s="497">
        <f>IF(Input!$B$7="","",Input!$B$7)</f>
      </c>
      <c r="F14" s="498"/>
      <c r="G14" s="499" t="s">
        <v>107</v>
      </c>
      <c r="H14" s="500">
        <v>1</v>
      </c>
      <c r="I14" s="501">
        <f>IF(Input!$C$64="","",Input!$C$64)</f>
      </c>
      <c r="J14" s="500">
        <v>5</v>
      </c>
      <c r="K14" s="501">
        <f>IF(Input!$E$64="","",Input!$E$64)</f>
      </c>
      <c r="L14" s="502" t="s">
        <v>560</v>
      </c>
      <c r="M14" s="607"/>
      <c r="N14" s="503"/>
      <c r="O14" s="529"/>
      <c r="P14" s="70"/>
      <c r="Q14" s="70"/>
      <c r="R14" s="65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</row>
    <row r="15" spans="1:75" ht="12.75">
      <c r="A15" s="493"/>
      <c r="B15" s="493"/>
      <c r="C15" s="493"/>
      <c r="D15" s="496" t="s">
        <v>103</v>
      </c>
      <c r="E15" s="497">
        <f>IF(Input!$B$8="","",Input!$B$8)</f>
      </c>
      <c r="F15" s="498"/>
      <c r="G15" s="504"/>
      <c r="H15" s="500">
        <v>2</v>
      </c>
      <c r="I15" s="501">
        <f>IF(Input!$C$65="","",Input!$C$65)</f>
      </c>
      <c r="J15" s="500">
        <v>6</v>
      </c>
      <c r="K15" s="501">
        <f>IF(Input!$E$65="","",Input!$E$65)</f>
      </c>
      <c r="L15" s="505" t="s">
        <v>50</v>
      </c>
      <c r="M15" s="506">
        <f ca="1">TODAY()</f>
        <v>40878</v>
      </c>
      <c r="N15" s="503"/>
      <c r="O15" s="529"/>
      <c r="P15" s="70"/>
      <c r="Q15" s="70"/>
      <c r="R15" s="6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</row>
    <row r="16" spans="1:75" ht="12.75">
      <c r="A16" s="493"/>
      <c r="B16" s="493"/>
      <c r="C16" s="493"/>
      <c r="D16" s="496" t="s">
        <v>1041</v>
      </c>
      <c r="E16" s="497">
        <f>IF(Input!$B$10="","",Input!$B$10)</f>
      </c>
      <c r="F16" s="498"/>
      <c r="G16" s="504"/>
      <c r="H16" s="500">
        <v>3</v>
      </c>
      <c r="I16" s="501">
        <f>IF(Input!$C$66="","",Input!$C$66)</f>
      </c>
      <c r="J16" s="500">
        <v>7</v>
      </c>
      <c r="K16" s="501">
        <f>IF(Input!$E$66="","",Input!$E$66)</f>
      </c>
      <c r="L16" s="496" t="s">
        <v>1034</v>
      </c>
      <c r="M16" s="507">
        <f>IF(Input!$B$30="","",Input!$B$30)</f>
      </c>
      <c r="N16" s="508"/>
      <c r="O16" s="529"/>
      <c r="P16" s="70"/>
      <c r="Q16" s="70"/>
      <c r="R16" s="65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</row>
    <row r="17" spans="1:69" ht="12.75">
      <c r="A17" s="493"/>
      <c r="B17" s="493"/>
      <c r="C17" s="493"/>
      <c r="D17" s="496" t="s">
        <v>1004</v>
      </c>
      <c r="E17" s="497">
        <f>IF(Input!$E$5="","",Input!$E$5)</f>
      </c>
      <c r="F17" s="498"/>
      <c r="G17" s="509"/>
      <c r="H17" s="500">
        <v>4</v>
      </c>
      <c r="I17" s="501">
        <f>IF(Input!$C$67="","",Input!$C$67)</f>
      </c>
      <c r="J17" s="500">
        <v>8</v>
      </c>
      <c r="K17" s="501">
        <f>IF(Input!$E$67="","",Input!$E$67)</f>
      </c>
      <c r="L17" s="496" t="s">
        <v>1035</v>
      </c>
      <c r="M17" s="507">
        <f>IF(Input!$B$31="","",Input!$B$31)</f>
      </c>
      <c r="N17" s="508"/>
      <c r="O17" s="693"/>
      <c r="P17" s="705"/>
      <c r="Q17" s="705"/>
      <c r="R17" s="3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</row>
    <row r="18" spans="1:75" ht="12.75">
      <c r="A18" s="493"/>
      <c r="B18" s="493"/>
      <c r="C18" s="493"/>
      <c r="D18" s="510" t="s">
        <v>49</v>
      </c>
      <c r="E18" s="497">
        <f>IF(Input!$E$6="","",Input!$E$6)</f>
      </c>
      <c r="F18" s="498"/>
      <c r="G18" s="496" t="s">
        <v>1017</v>
      </c>
      <c r="H18" s="511">
        <f>IF(Input!$B$68="","",Input!$B$68)</f>
      </c>
      <c r="I18" s="512"/>
      <c r="J18" s="512"/>
      <c r="K18" s="512"/>
      <c r="L18" s="496" t="s">
        <v>1030</v>
      </c>
      <c r="M18" s="507">
        <f>IF(Input!$B$32="","",Input!$B$32)</f>
      </c>
      <c r="N18" s="508"/>
      <c r="O18" s="840"/>
      <c r="P18" s="70"/>
      <c r="Q18" s="882"/>
      <c r="R18" s="290"/>
      <c r="S18" s="153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</row>
    <row r="19" spans="1:75" ht="12.75">
      <c r="A19" s="493"/>
      <c r="B19" s="493"/>
      <c r="C19" s="493"/>
      <c r="D19" s="510" t="s">
        <v>106</v>
      </c>
      <c r="E19" s="497">
        <f>IF(Input!$E$7="","",Input!$E$7)</f>
      </c>
      <c r="F19" s="498"/>
      <c r="G19" s="496" t="s">
        <v>1018</v>
      </c>
      <c r="H19" s="511">
        <f>IF(Input!$B$69="","",Input!$B$69)</f>
      </c>
      <c r="I19" s="512"/>
      <c r="J19" s="512"/>
      <c r="K19" s="512"/>
      <c r="L19" s="496" t="s">
        <v>1036</v>
      </c>
      <c r="M19" s="507">
        <f>IF(Input!$B$33="","",Input!$B$33)</f>
      </c>
      <c r="N19" s="508"/>
      <c r="O19" s="840"/>
      <c r="P19" s="70"/>
      <c r="Q19" s="882"/>
      <c r="R19" s="290"/>
      <c r="S19" s="153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</row>
    <row r="20" spans="1:75" ht="12.75">
      <c r="A20" s="493"/>
      <c r="B20" s="493"/>
      <c r="C20" s="493"/>
      <c r="D20" s="510" t="s">
        <v>48</v>
      </c>
      <c r="E20" s="497">
        <f>IF(Input!$E$8="","",Input!$E$8)</f>
      </c>
      <c r="F20" s="498"/>
      <c r="G20" s="496" t="s">
        <v>1019</v>
      </c>
      <c r="H20" s="511">
        <f>IF(Input!$B$70="","",Input!$B$70)</f>
      </c>
      <c r="I20" s="512"/>
      <c r="J20" s="512"/>
      <c r="K20" s="512"/>
      <c r="L20" s="496" t="s">
        <v>1033</v>
      </c>
      <c r="M20" s="507">
        <f>IF(Input!$B$34="","",Input!$B$34)</f>
      </c>
      <c r="N20" s="508"/>
      <c r="O20" s="840"/>
      <c r="P20" s="70"/>
      <c r="Q20" s="882"/>
      <c r="R20" s="295"/>
      <c r="S20" s="153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</row>
    <row r="21" spans="1:75" ht="12.75">
      <c r="A21" s="493"/>
      <c r="B21" s="493"/>
      <c r="C21" s="493"/>
      <c r="D21" s="496" t="s">
        <v>1039</v>
      </c>
      <c r="E21" s="497">
        <f>IF(Input!$B$37="","",Input!$B$37)</f>
      </c>
      <c r="F21" s="498"/>
      <c r="G21" s="496" t="s">
        <v>1020</v>
      </c>
      <c r="H21" s="511">
        <f>IF(Input!$B$71="","",Input!$B$71)</f>
      </c>
      <c r="I21" s="512"/>
      <c r="J21" s="512"/>
      <c r="K21" s="512"/>
      <c r="L21" s="496" t="s">
        <v>1037</v>
      </c>
      <c r="M21" s="507">
        <f>IF(Input!$B$35="","",Input!$B$35)</f>
      </c>
      <c r="N21" s="508"/>
      <c r="O21" s="70"/>
      <c r="P21" s="70"/>
      <c r="Q21" s="70"/>
      <c r="R21" s="65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</row>
    <row r="22" spans="1:75" ht="12.75">
      <c r="A22" s="493"/>
      <c r="B22" s="493"/>
      <c r="C22" s="493"/>
      <c r="D22" s="496" t="s">
        <v>98</v>
      </c>
      <c r="E22" s="573"/>
      <c r="F22" s="574"/>
      <c r="G22" s="496" t="s">
        <v>1021</v>
      </c>
      <c r="H22" s="511">
        <f>IF(Input!$B$72="","",Input!$B$72)</f>
      </c>
      <c r="I22" s="512"/>
      <c r="J22" s="512"/>
      <c r="K22" s="512"/>
      <c r="L22" s="496" t="s">
        <v>1038</v>
      </c>
      <c r="M22" s="507">
        <f>IF(Input!$B$36="","",Input!$B$36)</f>
      </c>
      <c r="N22" s="508"/>
      <c r="O22" s="344"/>
      <c r="P22" s="70"/>
      <c r="Q22" s="70"/>
      <c r="R22" s="65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</row>
    <row r="23" spans="1:75" ht="12.75">
      <c r="A23" s="493"/>
      <c r="B23" s="493"/>
      <c r="C23" s="493"/>
      <c r="D23" s="496" t="s">
        <v>104</v>
      </c>
      <c r="E23" s="497">
        <f>IF(Input!$B$9="","",Input!$B$9)</f>
      </c>
      <c r="F23" s="498"/>
      <c r="G23" s="496" t="s">
        <v>1022</v>
      </c>
      <c r="H23" s="511">
        <f>IF(Input!$B$73="","",Input!$B$73)</f>
      </c>
      <c r="I23" s="512"/>
      <c r="J23" s="512"/>
      <c r="K23" s="512"/>
      <c r="L23" s="513"/>
      <c r="M23" s="514"/>
      <c r="N23" s="515"/>
      <c r="O23" s="747"/>
      <c r="P23" s="70"/>
      <c r="Q23" s="70"/>
      <c r="R23" s="65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</row>
    <row r="24" spans="1:75" ht="12.75">
      <c r="A24" s="493"/>
      <c r="B24" s="493"/>
      <c r="C24" s="493"/>
      <c r="D24" s="496" t="s">
        <v>105</v>
      </c>
      <c r="E24" s="516">
        <f>'Setup Bm Input'!$B$34</f>
      </c>
      <c r="F24" s="498" t="str">
        <f>IF(Input!$B$6="","",IF(Input!$B$6="E","in.",IF(Input!$B$6="M","mm")))</f>
        <v>in.</v>
      </c>
      <c r="G24" s="496" t="s">
        <v>1024</v>
      </c>
      <c r="H24" s="511">
        <f>IF('Setup Bm Input'!$A$46="","",'Setup Bm Input'!$A$46)</f>
      </c>
      <c r="I24" s="512"/>
      <c r="J24" s="512"/>
      <c r="K24" s="512"/>
      <c r="L24" s="517"/>
      <c r="M24" s="518"/>
      <c r="N24" s="515"/>
      <c r="O24" s="69"/>
      <c r="P24" s="69"/>
      <c r="Q24" s="70"/>
      <c r="R24" s="65"/>
      <c r="S24" s="133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</row>
    <row r="25" spans="1:67" ht="12.75">
      <c r="A25" s="344"/>
      <c r="B25" s="70"/>
      <c r="C25" s="1042"/>
      <c r="D25" s="1042"/>
      <c r="E25" s="1042"/>
      <c r="F25" s="1042"/>
      <c r="G25" s="493"/>
      <c r="H25" s="493"/>
      <c r="I25" s="493"/>
      <c r="J25" s="255"/>
      <c r="K25" s="746"/>
      <c r="L25" s="693"/>
      <c r="M25" s="693"/>
      <c r="N25" s="693"/>
      <c r="O25" s="693"/>
      <c r="P25" s="705"/>
      <c r="Q25" s="705"/>
      <c r="R25" s="3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</row>
    <row r="26" spans="1:67" ht="12.75">
      <c r="A26" s="493"/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545"/>
      <c r="Q26" s="545"/>
      <c r="R26" s="3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</row>
    <row r="27" spans="1:75" ht="12.75">
      <c r="A27" s="493"/>
      <c r="B27" s="493"/>
      <c r="C27" s="493"/>
      <c r="D27" s="493"/>
      <c r="E27" s="679" t="s">
        <v>969</v>
      </c>
      <c r="F27" s="616"/>
      <c r="G27" s="841"/>
      <c r="H27" s="660" t="s">
        <v>923</v>
      </c>
      <c r="I27" s="842"/>
      <c r="J27" s="493"/>
      <c r="K27" s="493"/>
      <c r="L27" s="841"/>
      <c r="M27" s="843" t="s">
        <v>931</v>
      </c>
      <c r="N27" s="616"/>
      <c r="O27" s="861"/>
      <c r="P27" s="870" t="s">
        <v>972</v>
      </c>
      <c r="Q27" s="545"/>
      <c r="R27" s="286"/>
      <c r="S27" s="133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</row>
    <row r="28" spans="1:75" ht="12.75">
      <c r="A28" s="844" t="s">
        <v>583</v>
      </c>
      <c r="B28" s="845"/>
      <c r="C28" s="846" t="s">
        <v>587</v>
      </c>
      <c r="D28" s="847"/>
      <c r="E28" s="699" t="s">
        <v>967</v>
      </c>
      <c r="F28" s="699" t="s">
        <v>968</v>
      </c>
      <c r="G28" s="848" t="s">
        <v>929</v>
      </c>
      <c r="H28" s="703" t="s">
        <v>967</v>
      </c>
      <c r="I28" s="849" t="s">
        <v>968</v>
      </c>
      <c r="J28" s="778" t="s">
        <v>930</v>
      </c>
      <c r="K28" s="850" t="s">
        <v>589</v>
      </c>
      <c r="L28" s="799" t="s">
        <v>932</v>
      </c>
      <c r="M28" s="851" t="s">
        <v>934</v>
      </c>
      <c r="N28" s="851" t="s">
        <v>958</v>
      </c>
      <c r="O28" s="883" t="s">
        <v>970</v>
      </c>
      <c r="P28" s="884" t="s">
        <v>943</v>
      </c>
      <c r="Q28" s="545"/>
      <c r="R28" s="286"/>
      <c r="S28" s="133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</row>
    <row r="29" spans="1:75" ht="12.75">
      <c r="A29" s="853"/>
      <c r="B29" s="854" t="s">
        <v>590</v>
      </c>
      <c r="C29" s="594" t="str">
        <f>IF(Input!$B$6="","",IF(Input!$B$6="E","Left ft.-in.",IF(Input!$B$6="M","Left meters")))</f>
        <v>Left ft.-in.</v>
      </c>
      <c r="D29" s="594" t="str">
        <f>IF(Input!$B$6="","",IF(Input!$B$6="E","Right ft.-in.",IF(Input!$B$6="M","Right meters")))</f>
        <v>Right ft.-in.</v>
      </c>
      <c r="E29" s="855" t="str">
        <f>IF(Input!$B$6="","",IF(Input!$B$6="E","in.",IF(Input!$B$6="M","mm")))</f>
        <v>in.</v>
      </c>
      <c r="F29" s="855" t="str">
        <f>IF(Input!$B$6="","",IF(Input!$B$6="E","in.",IF(Input!$B$6="M","mm")))</f>
        <v>in.</v>
      </c>
      <c r="G29" s="848" t="str">
        <f>IF(Input!$B$6="","",IF(Input!$B$6="E","in.",IF(Input!$B$6="M","mm")))</f>
        <v>in.</v>
      </c>
      <c r="H29" s="856" t="str">
        <f>IF(Input!$B$6="","",IF(Input!$B$6="E","in.",IF(Input!$B$6="M","mm")))</f>
        <v>in.</v>
      </c>
      <c r="I29" s="857" t="str">
        <f>IF(Input!$B$6="","",IF(Input!$B$6="E","in.",IF(Input!$B$6="M","mm")))</f>
        <v>in.</v>
      </c>
      <c r="J29" s="701" t="str">
        <f>IF(Input!$B$6="","",IF(Input!$B$6="E","in.",IF(Input!$B$6="M","mm")))</f>
        <v>in.</v>
      </c>
      <c r="K29" s="855" t="str">
        <f>IF(Input!$B$6="","",IF(Input!$B$6="E","in.",IF(Input!$B$6="M","mm")))</f>
        <v>in.</v>
      </c>
      <c r="L29" s="281" t="s">
        <v>933</v>
      </c>
      <c r="M29" s="858" t="s">
        <v>935</v>
      </c>
      <c r="N29" s="858" t="s">
        <v>959</v>
      </c>
      <c r="O29" s="879" t="s">
        <v>971</v>
      </c>
      <c r="P29" s="879" t="s">
        <v>944</v>
      </c>
      <c r="Q29" s="545"/>
      <c r="R29" s="286"/>
      <c r="S29" s="133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</row>
    <row r="30" spans="1:75" ht="12.75">
      <c r="A30" s="1038">
        <f>IF(Input!$C$64="","",Input!$C$64)</f>
      </c>
      <c r="B30" s="748" t="s">
        <v>591</v>
      </c>
      <c r="C30" s="112"/>
      <c r="D30" s="112"/>
      <c r="E30" s="299"/>
      <c r="F30" s="299"/>
      <c r="G30" s="300"/>
      <c r="H30" s="207"/>
      <c r="I30" s="304"/>
      <c r="J30" s="302"/>
      <c r="K30" s="296"/>
      <c r="L30" s="306"/>
      <c r="M30" s="297"/>
      <c r="N30" s="314"/>
      <c r="O30" s="316"/>
      <c r="P30" s="316"/>
      <c r="Q30" s="545"/>
      <c r="R30" s="286"/>
      <c r="S30" s="133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</row>
    <row r="31" spans="1:75" ht="12.75">
      <c r="A31" s="1039"/>
      <c r="B31" s="854" t="s">
        <v>592</v>
      </c>
      <c r="C31" s="101"/>
      <c r="D31" s="101"/>
      <c r="E31" s="227"/>
      <c r="F31" s="227"/>
      <c r="G31" s="301"/>
      <c r="H31" s="100"/>
      <c r="I31" s="305"/>
      <c r="J31" s="303"/>
      <c r="K31" s="234"/>
      <c r="L31" s="308"/>
      <c r="M31" s="298"/>
      <c r="N31" s="315"/>
      <c r="O31" s="317"/>
      <c r="P31" s="317"/>
      <c r="Q31" s="545"/>
      <c r="R31" s="286"/>
      <c r="S31" s="133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</row>
    <row r="32" spans="1:75" ht="12.75">
      <c r="A32" s="1038">
        <f>IF(Input!$C$65="","",Input!$C$65)</f>
      </c>
      <c r="B32" s="854" t="s">
        <v>591</v>
      </c>
      <c r="C32" s="101"/>
      <c r="D32" s="101"/>
      <c r="E32" s="227"/>
      <c r="F32" s="227"/>
      <c r="G32" s="300"/>
      <c r="H32" s="100"/>
      <c r="I32" s="304"/>
      <c r="J32" s="302"/>
      <c r="K32" s="296"/>
      <c r="L32" s="306"/>
      <c r="M32" s="297"/>
      <c r="N32" s="314"/>
      <c r="O32" s="316"/>
      <c r="P32" s="316"/>
      <c r="Q32" s="545"/>
      <c r="R32" s="286"/>
      <c r="S32" s="133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</row>
    <row r="33" spans="1:75" ht="12.75">
      <c r="A33" s="1039"/>
      <c r="B33" s="854" t="s">
        <v>592</v>
      </c>
      <c r="C33" s="101"/>
      <c r="D33" s="101"/>
      <c r="E33" s="227"/>
      <c r="F33" s="227"/>
      <c r="G33" s="301"/>
      <c r="H33" s="100"/>
      <c r="I33" s="305"/>
      <c r="J33" s="303"/>
      <c r="K33" s="234"/>
      <c r="L33" s="308"/>
      <c r="M33" s="298"/>
      <c r="N33" s="315"/>
      <c r="O33" s="317"/>
      <c r="P33" s="317"/>
      <c r="Q33" s="545"/>
      <c r="R33" s="287"/>
      <c r="S33" s="133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</row>
    <row r="34" spans="1:75" ht="12.75">
      <c r="A34" s="1038">
        <f>IF(Input!$C$66="","",Input!$C$66)</f>
      </c>
      <c r="B34" s="854" t="s">
        <v>591</v>
      </c>
      <c r="C34" s="101"/>
      <c r="D34" s="101"/>
      <c r="E34" s="227"/>
      <c r="F34" s="227"/>
      <c r="G34" s="300"/>
      <c r="H34" s="100"/>
      <c r="I34" s="304"/>
      <c r="J34" s="302"/>
      <c r="K34" s="296"/>
      <c r="L34" s="306"/>
      <c r="M34" s="297"/>
      <c r="N34" s="314"/>
      <c r="O34" s="316"/>
      <c r="P34" s="316"/>
      <c r="Q34" s="545"/>
      <c r="R34" s="287"/>
      <c r="S34" s="133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</row>
    <row r="35" spans="1:75" ht="12.75">
      <c r="A35" s="1039"/>
      <c r="B35" s="854" t="s">
        <v>592</v>
      </c>
      <c r="C35" s="101"/>
      <c r="D35" s="101"/>
      <c r="E35" s="227"/>
      <c r="F35" s="227"/>
      <c r="G35" s="301"/>
      <c r="H35" s="100"/>
      <c r="I35" s="305"/>
      <c r="J35" s="303"/>
      <c r="K35" s="234"/>
      <c r="L35" s="308"/>
      <c r="M35" s="298"/>
      <c r="N35" s="315"/>
      <c r="O35" s="317"/>
      <c r="P35" s="317"/>
      <c r="Q35" s="545"/>
      <c r="R35" s="65"/>
      <c r="S35" s="133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</row>
    <row r="36" spans="1:75" ht="12.75">
      <c r="A36" s="1038">
        <f>IF(Input!$C$67="","",Input!$C$67)</f>
      </c>
      <c r="B36" s="854" t="s">
        <v>591</v>
      </c>
      <c r="C36" s="101"/>
      <c r="D36" s="101"/>
      <c r="E36" s="227"/>
      <c r="F36" s="227"/>
      <c r="G36" s="300"/>
      <c r="H36" s="100"/>
      <c r="I36" s="304"/>
      <c r="J36" s="302"/>
      <c r="K36" s="296"/>
      <c r="L36" s="306"/>
      <c r="M36" s="297"/>
      <c r="N36" s="314"/>
      <c r="O36" s="316"/>
      <c r="P36" s="316"/>
      <c r="Q36" s="545"/>
      <c r="R36" s="147"/>
      <c r="S36" s="133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</row>
    <row r="37" spans="1:75" ht="12.75">
      <c r="A37" s="1039"/>
      <c r="B37" s="854" t="s">
        <v>592</v>
      </c>
      <c r="C37" s="101"/>
      <c r="D37" s="101"/>
      <c r="E37" s="227"/>
      <c r="F37" s="227"/>
      <c r="G37" s="301"/>
      <c r="H37" s="100"/>
      <c r="I37" s="305"/>
      <c r="J37" s="303"/>
      <c r="K37" s="234"/>
      <c r="L37" s="308"/>
      <c r="M37" s="298"/>
      <c r="N37" s="315"/>
      <c r="O37" s="317"/>
      <c r="P37" s="317"/>
      <c r="Q37" s="545"/>
      <c r="R37" s="166"/>
      <c r="S37" s="133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</row>
    <row r="38" spans="1:75" ht="12.75">
      <c r="A38" s="1038">
        <f>IF(Input!$E$64="","",Input!$E$64)</f>
      </c>
      <c r="B38" s="854" t="s">
        <v>591</v>
      </c>
      <c r="C38" s="101"/>
      <c r="D38" s="101"/>
      <c r="E38" s="227"/>
      <c r="F38" s="227"/>
      <c r="G38" s="300"/>
      <c r="H38" s="100"/>
      <c r="I38" s="304"/>
      <c r="J38" s="302"/>
      <c r="K38" s="296"/>
      <c r="L38" s="306"/>
      <c r="M38" s="297"/>
      <c r="N38" s="314"/>
      <c r="O38" s="316"/>
      <c r="P38" s="316"/>
      <c r="Q38" s="545"/>
      <c r="R38" s="166"/>
      <c r="S38" s="133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</row>
    <row r="39" spans="1:75" ht="12.75">
      <c r="A39" s="1039"/>
      <c r="B39" s="854" t="s">
        <v>592</v>
      </c>
      <c r="C39" s="101"/>
      <c r="D39" s="101"/>
      <c r="E39" s="227"/>
      <c r="F39" s="227"/>
      <c r="G39" s="301"/>
      <c r="H39" s="100"/>
      <c r="I39" s="305"/>
      <c r="J39" s="303"/>
      <c r="K39" s="234"/>
      <c r="L39" s="308"/>
      <c r="M39" s="298"/>
      <c r="N39" s="315"/>
      <c r="O39" s="317"/>
      <c r="P39" s="317"/>
      <c r="Q39" s="545"/>
      <c r="R39" s="288"/>
      <c r="S39" s="133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</row>
    <row r="40" spans="1:75" ht="12.75">
      <c r="A40" s="1038">
        <f>IF(Input!$E$65="","",Input!$E$65)</f>
      </c>
      <c r="B40" s="854" t="s">
        <v>591</v>
      </c>
      <c r="C40" s="101"/>
      <c r="D40" s="101"/>
      <c r="E40" s="227"/>
      <c r="F40" s="227"/>
      <c r="G40" s="300"/>
      <c r="H40" s="100"/>
      <c r="I40" s="304"/>
      <c r="J40" s="302"/>
      <c r="K40" s="296"/>
      <c r="L40" s="306"/>
      <c r="M40" s="297"/>
      <c r="N40" s="314"/>
      <c r="O40" s="316"/>
      <c r="P40" s="316"/>
      <c r="Q40" s="545"/>
      <c r="R40" s="289"/>
      <c r="S40" s="2"/>
      <c r="T40" s="37"/>
      <c r="U40" s="2"/>
      <c r="V40" s="37"/>
      <c r="W40" s="2"/>
      <c r="X40" s="37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</row>
    <row r="41" spans="1:75" ht="12.75">
      <c r="A41" s="1039"/>
      <c r="B41" s="854" t="s">
        <v>592</v>
      </c>
      <c r="C41" s="101"/>
      <c r="D41" s="101"/>
      <c r="E41" s="227"/>
      <c r="F41" s="227"/>
      <c r="G41" s="301"/>
      <c r="H41" s="100"/>
      <c r="I41" s="305"/>
      <c r="J41" s="303"/>
      <c r="K41" s="234"/>
      <c r="L41" s="308"/>
      <c r="M41" s="298"/>
      <c r="N41" s="315"/>
      <c r="O41" s="317"/>
      <c r="P41" s="317"/>
      <c r="Q41" s="545"/>
      <c r="R41" s="289"/>
      <c r="S41" s="133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</row>
    <row r="42" spans="1:75" ht="12.75">
      <c r="A42" s="1038">
        <f>IF(Input!$E$66="","",Input!$E$66)</f>
      </c>
      <c r="B42" s="854" t="s">
        <v>591</v>
      </c>
      <c r="C42" s="101"/>
      <c r="D42" s="101"/>
      <c r="E42" s="227"/>
      <c r="F42" s="227"/>
      <c r="G42" s="300"/>
      <c r="H42" s="100"/>
      <c r="I42" s="304"/>
      <c r="J42" s="302"/>
      <c r="K42" s="296"/>
      <c r="L42" s="306"/>
      <c r="M42" s="297"/>
      <c r="N42" s="314"/>
      <c r="O42" s="316"/>
      <c r="P42" s="316"/>
      <c r="Q42" s="545"/>
      <c r="R42" s="65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</row>
    <row r="43" spans="1:75" ht="12.75">
      <c r="A43" s="1039"/>
      <c r="B43" s="854" t="s">
        <v>592</v>
      </c>
      <c r="C43" s="101"/>
      <c r="D43" s="101"/>
      <c r="E43" s="227"/>
      <c r="F43" s="227"/>
      <c r="G43" s="301"/>
      <c r="H43" s="100"/>
      <c r="I43" s="305"/>
      <c r="J43" s="303"/>
      <c r="K43" s="234"/>
      <c r="L43" s="308"/>
      <c r="M43" s="298"/>
      <c r="N43" s="315"/>
      <c r="O43" s="317"/>
      <c r="P43" s="317"/>
      <c r="Q43" s="545"/>
      <c r="R43" s="65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</row>
    <row r="44" spans="1:75" ht="12.75">
      <c r="A44" s="1038">
        <f>IF(Input!$E$67="","",Input!$E$67)</f>
      </c>
      <c r="B44" s="854" t="s">
        <v>591</v>
      </c>
      <c r="C44" s="101"/>
      <c r="D44" s="101"/>
      <c r="E44" s="227"/>
      <c r="F44" s="227"/>
      <c r="G44" s="300"/>
      <c r="H44" s="100"/>
      <c r="I44" s="304"/>
      <c r="J44" s="302"/>
      <c r="K44" s="296"/>
      <c r="L44" s="306"/>
      <c r="M44" s="297"/>
      <c r="N44" s="314"/>
      <c r="O44" s="316"/>
      <c r="P44" s="316"/>
      <c r="Q44" s="70"/>
      <c r="R44" s="4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</row>
    <row r="45" spans="1:75" ht="12.75">
      <c r="A45" s="1039"/>
      <c r="B45" s="854" t="s">
        <v>592</v>
      </c>
      <c r="C45" s="101"/>
      <c r="D45" s="101"/>
      <c r="E45" s="227"/>
      <c r="F45" s="227"/>
      <c r="G45" s="301"/>
      <c r="H45" s="100"/>
      <c r="I45" s="305"/>
      <c r="J45" s="303"/>
      <c r="K45" s="234"/>
      <c r="L45" s="308"/>
      <c r="M45" s="298"/>
      <c r="N45" s="315"/>
      <c r="O45" s="317"/>
      <c r="P45" s="317"/>
      <c r="Q45" s="708"/>
      <c r="R45" s="4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</row>
    <row r="46" spans="1:75" ht="12.75">
      <c r="A46" s="493"/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70"/>
      <c r="R46" s="4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</row>
    <row r="47" spans="1:75" ht="12.75">
      <c r="A47" s="493"/>
      <c r="B47" s="493"/>
      <c r="C47" s="493"/>
      <c r="D47" s="493"/>
      <c r="E47" s="530"/>
      <c r="F47" s="549"/>
      <c r="G47" s="530"/>
      <c r="H47" s="493"/>
      <c r="I47" s="885" t="s">
        <v>974</v>
      </c>
      <c r="J47" s="841"/>
      <c r="K47" s="843" t="s">
        <v>962</v>
      </c>
      <c r="L47" s="616"/>
      <c r="M47" s="616"/>
      <c r="N47" s="841" t="s">
        <v>964</v>
      </c>
      <c r="O47" s="616"/>
      <c r="P47" s="841" t="s">
        <v>973</v>
      </c>
      <c r="Q47" s="525"/>
      <c r="R47" s="4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</row>
    <row r="48" spans="1:75" ht="12.75">
      <c r="A48" s="844" t="s">
        <v>583</v>
      </c>
      <c r="B48" s="748"/>
      <c r="C48" s="862" t="s">
        <v>965</v>
      </c>
      <c r="D48" s="862"/>
      <c r="E48" s="863" t="s">
        <v>949</v>
      </c>
      <c r="F48" s="862"/>
      <c r="G48" s="864" t="s">
        <v>952</v>
      </c>
      <c r="H48" s="886"/>
      <c r="I48" s="603" t="s">
        <v>975</v>
      </c>
      <c r="J48" s="887" t="s">
        <v>955</v>
      </c>
      <c r="K48" s="867" t="s">
        <v>957</v>
      </c>
      <c r="L48" s="867" t="s">
        <v>958</v>
      </c>
      <c r="M48" s="868" t="s">
        <v>960</v>
      </c>
      <c r="N48" s="798" t="s">
        <v>567</v>
      </c>
      <c r="O48" s="888" t="s">
        <v>663</v>
      </c>
      <c r="P48" s="889" t="s">
        <v>353</v>
      </c>
      <c r="Q48" s="890" t="s">
        <v>354</v>
      </c>
      <c r="R48" s="4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</row>
    <row r="49" spans="1:75" ht="12.75">
      <c r="A49" s="853"/>
      <c r="B49" s="856" t="s">
        <v>958</v>
      </c>
      <c r="C49" s="856" t="s">
        <v>966</v>
      </c>
      <c r="D49" s="855" t="s">
        <v>934</v>
      </c>
      <c r="E49" s="871" t="s">
        <v>950</v>
      </c>
      <c r="F49" s="872" t="s">
        <v>951</v>
      </c>
      <c r="G49" s="873" t="s">
        <v>954</v>
      </c>
      <c r="H49" s="891" t="s">
        <v>953</v>
      </c>
      <c r="I49" s="702" t="s">
        <v>976</v>
      </c>
      <c r="J49" s="873" t="s">
        <v>956</v>
      </c>
      <c r="K49" s="875" t="s">
        <v>956</v>
      </c>
      <c r="L49" s="875" t="s">
        <v>959</v>
      </c>
      <c r="M49" s="876" t="s">
        <v>961</v>
      </c>
      <c r="N49" s="877" t="s">
        <v>963</v>
      </c>
      <c r="O49" s="878"/>
      <c r="P49" s="892" t="s">
        <v>1006</v>
      </c>
      <c r="Q49" s="893" t="s">
        <v>935</v>
      </c>
      <c r="R49" s="4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</row>
    <row r="50" spans="1:75" ht="12.75">
      <c r="A50" s="1038">
        <f>IF(Input!$C$64="","",Input!$C$64)</f>
      </c>
      <c r="B50" s="112"/>
      <c r="C50" s="112"/>
      <c r="D50" s="299"/>
      <c r="E50" s="311"/>
      <c r="F50" s="313"/>
      <c r="G50" s="311"/>
      <c r="H50" s="296"/>
      <c r="I50" s="296"/>
      <c r="J50" s="306"/>
      <c r="K50" s="297"/>
      <c r="L50" s="297"/>
      <c r="M50" s="307"/>
      <c r="N50" s="209"/>
      <c r="O50" s="208"/>
      <c r="P50" s="318"/>
      <c r="Q50" s="320"/>
      <c r="R50" s="4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</row>
    <row r="51" spans="1:75" ht="12.75">
      <c r="A51" s="1039"/>
      <c r="B51" s="101"/>
      <c r="C51" s="101"/>
      <c r="D51" s="227"/>
      <c r="E51" s="310"/>
      <c r="F51" s="312"/>
      <c r="G51" s="310"/>
      <c r="H51" s="234"/>
      <c r="I51" s="234"/>
      <c r="J51" s="308"/>
      <c r="K51" s="298"/>
      <c r="L51" s="298"/>
      <c r="M51" s="309"/>
      <c r="N51" s="206"/>
      <c r="O51" s="55"/>
      <c r="P51" s="319"/>
      <c r="Q51" s="321"/>
      <c r="R51" s="4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</row>
    <row r="52" spans="1:75" ht="12.75">
      <c r="A52" s="1038">
        <f>IF(Input!$C$65="","",Input!$C$65)</f>
      </c>
      <c r="B52" s="101"/>
      <c r="C52" s="101"/>
      <c r="D52" s="227"/>
      <c r="E52" s="311"/>
      <c r="F52" s="313"/>
      <c r="G52" s="311"/>
      <c r="H52" s="296"/>
      <c r="I52" s="296"/>
      <c r="J52" s="306"/>
      <c r="K52" s="297"/>
      <c r="L52" s="297"/>
      <c r="M52" s="307"/>
      <c r="N52" s="209"/>
      <c r="O52" s="208"/>
      <c r="P52" s="318"/>
      <c r="Q52" s="320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</row>
    <row r="53" spans="1:75" ht="12.75">
      <c r="A53" s="1039"/>
      <c r="B53" s="101"/>
      <c r="C53" s="101"/>
      <c r="D53" s="227"/>
      <c r="E53" s="310"/>
      <c r="F53" s="312"/>
      <c r="G53" s="310"/>
      <c r="H53" s="234"/>
      <c r="I53" s="234"/>
      <c r="J53" s="308"/>
      <c r="K53" s="298"/>
      <c r="L53" s="298"/>
      <c r="M53" s="309"/>
      <c r="N53" s="206"/>
      <c r="O53" s="55"/>
      <c r="P53" s="319"/>
      <c r="Q53" s="321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</row>
    <row r="54" spans="1:75" ht="12.75">
      <c r="A54" s="1038">
        <f>IF(Input!$C$66="","",Input!$C$66)</f>
      </c>
      <c r="B54" s="101"/>
      <c r="C54" s="101"/>
      <c r="D54" s="227"/>
      <c r="E54" s="311"/>
      <c r="F54" s="313"/>
      <c r="G54" s="311"/>
      <c r="H54" s="296"/>
      <c r="I54" s="296"/>
      <c r="J54" s="306"/>
      <c r="K54" s="297"/>
      <c r="L54" s="297"/>
      <c r="M54" s="307"/>
      <c r="N54" s="209"/>
      <c r="O54" s="208"/>
      <c r="P54" s="318"/>
      <c r="Q54" s="320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</row>
    <row r="55" spans="1:75" ht="12.75">
      <c r="A55" s="1039"/>
      <c r="B55" s="101"/>
      <c r="C55" s="101"/>
      <c r="D55" s="227"/>
      <c r="E55" s="310"/>
      <c r="F55" s="312"/>
      <c r="G55" s="310"/>
      <c r="H55" s="234"/>
      <c r="I55" s="234"/>
      <c r="J55" s="308"/>
      <c r="K55" s="298"/>
      <c r="L55" s="298"/>
      <c r="M55" s="309"/>
      <c r="N55" s="206"/>
      <c r="O55" s="55"/>
      <c r="P55" s="319"/>
      <c r="Q55" s="321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</row>
    <row r="56" spans="1:75" ht="12.75">
      <c r="A56" s="1038">
        <f>IF(Input!$C$67="","",Input!$C$67)</f>
      </c>
      <c r="B56" s="101"/>
      <c r="C56" s="101"/>
      <c r="D56" s="227"/>
      <c r="E56" s="311"/>
      <c r="F56" s="313"/>
      <c r="G56" s="311"/>
      <c r="H56" s="296"/>
      <c r="I56" s="296"/>
      <c r="J56" s="306"/>
      <c r="K56" s="297"/>
      <c r="L56" s="297"/>
      <c r="M56" s="307"/>
      <c r="N56" s="209"/>
      <c r="O56" s="208"/>
      <c r="P56" s="318"/>
      <c r="Q56" s="320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</row>
    <row r="57" spans="1:75" ht="12.75">
      <c r="A57" s="1039"/>
      <c r="B57" s="101"/>
      <c r="C57" s="101"/>
      <c r="D57" s="227"/>
      <c r="E57" s="310"/>
      <c r="F57" s="312"/>
      <c r="G57" s="310"/>
      <c r="H57" s="234"/>
      <c r="I57" s="234"/>
      <c r="J57" s="308"/>
      <c r="K57" s="298"/>
      <c r="L57" s="298"/>
      <c r="M57" s="309"/>
      <c r="N57" s="206"/>
      <c r="O57" s="55"/>
      <c r="P57" s="319"/>
      <c r="Q57" s="321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</row>
    <row r="58" spans="1:75" ht="12.75">
      <c r="A58" s="1038">
        <f>IF(Input!$E$64="","",Input!$E$64)</f>
      </c>
      <c r="B58" s="101"/>
      <c r="C58" s="101"/>
      <c r="D58" s="227"/>
      <c r="E58" s="311"/>
      <c r="F58" s="313"/>
      <c r="G58" s="311"/>
      <c r="H58" s="296"/>
      <c r="I58" s="296"/>
      <c r="J58" s="306"/>
      <c r="K58" s="297"/>
      <c r="L58" s="297"/>
      <c r="M58" s="307"/>
      <c r="N58" s="209"/>
      <c r="O58" s="208"/>
      <c r="P58" s="318"/>
      <c r="Q58" s="320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</row>
    <row r="59" spans="1:75" ht="12.75">
      <c r="A59" s="1039"/>
      <c r="B59" s="101"/>
      <c r="C59" s="101"/>
      <c r="D59" s="227"/>
      <c r="E59" s="310"/>
      <c r="F59" s="312"/>
      <c r="G59" s="310"/>
      <c r="H59" s="234"/>
      <c r="I59" s="234"/>
      <c r="J59" s="308"/>
      <c r="K59" s="298"/>
      <c r="L59" s="298"/>
      <c r="M59" s="309"/>
      <c r="N59" s="206"/>
      <c r="O59" s="55"/>
      <c r="P59" s="319"/>
      <c r="Q59" s="321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</row>
    <row r="60" spans="1:75" ht="12.75">
      <c r="A60" s="1038">
        <f>IF(Input!$E$65="","",Input!$E$65)</f>
      </c>
      <c r="B60" s="101"/>
      <c r="C60" s="101"/>
      <c r="D60" s="227"/>
      <c r="E60" s="311"/>
      <c r="F60" s="313"/>
      <c r="G60" s="311"/>
      <c r="H60" s="296"/>
      <c r="I60" s="296"/>
      <c r="J60" s="306"/>
      <c r="K60" s="297"/>
      <c r="L60" s="297"/>
      <c r="M60" s="307"/>
      <c r="N60" s="209"/>
      <c r="O60" s="208"/>
      <c r="P60" s="318"/>
      <c r="Q60" s="320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</row>
    <row r="61" spans="1:75" ht="12.75">
      <c r="A61" s="1039"/>
      <c r="B61" s="101"/>
      <c r="C61" s="101"/>
      <c r="D61" s="227"/>
      <c r="E61" s="310"/>
      <c r="F61" s="312"/>
      <c r="G61" s="310"/>
      <c r="H61" s="234"/>
      <c r="I61" s="234"/>
      <c r="J61" s="308"/>
      <c r="K61" s="298"/>
      <c r="L61" s="298"/>
      <c r="M61" s="309"/>
      <c r="N61" s="206"/>
      <c r="O61" s="55"/>
      <c r="P61" s="319"/>
      <c r="Q61" s="321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</row>
    <row r="62" spans="1:75" ht="12.75">
      <c r="A62" s="1038">
        <f>IF(Input!$E$66="","",Input!$E$66)</f>
      </c>
      <c r="B62" s="101"/>
      <c r="C62" s="101"/>
      <c r="D62" s="227"/>
      <c r="E62" s="311"/>
      <c r="F62" s="313"/>
      <c r="G62" s="311"/>
      <c r="H62" s="296"/>
      <c r="I62" s="296"/>
      <c r="J62" s="306"/>
      <c r="K62" s="297"/>
      <c r="L62" s="297"/>
      <c r="M62" s="307"/>
      <c r="N62" s="209"/>
      <c r="O62" s="208"/>
      <c r="P62" s="318"/>
      <c r="Q62" s="320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</row>
    <row r="63" spans="1:75" ht="12.75">
      <c r="A63" s="1039"/>
      <c r="B63" s="101"/>
      <c r="C63" s="101"/>
      <c r="D63" s="227"/>
      <c r="E63" s="310"/>
      <c r="F63" s="312"/>
      <c r="G63" s="310"/>
      <c r="H63" s="234"/>
      <c r="I63" s="234"/>
      <c r="J63" s="308"/>
      <c r="K63" s="298"/>
      <c r="L63" s="298"/>
      <c r="M63" s="309"/>
      <c r="N63" s="206"/>
      <c r="O63" s="55"/>
      <c r="P63" s="319"/>
      <c r="Q63" s="321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</row>
    <row r="64" spans="1:75" ht="12.75">
      <c r="A64" s="1038">
        <f>IF(Input!$E$67="","",Input!$E$67)</f>
      </c>
      <c r="B64" s="101"/>
      <c r="C64" s="101"/>
      <c r="D64" s="227"/>
      <c r="E64" s="311"/>
      <c r="F64" s="313"/>
      <c r="G64" s="311"/>
      <c r="H64" s="296"/>
      <c r="I64" s="296"/>
      <c r="J64" s="306"/>
      <c r="K64" s="297"/>
      <c r="L64" s="297"/>
      <c r="M64" s="307"/>
      <c r="N64" s="209"/>
      <c r="O64" s="208"/>
      <c r="P64" s="318"/>
      <c r="Q64" s="320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</row>
    <row r="65" spans="1:75" ht="12.75">
      <c r="A65" s="1039"/>
      <c r="B65" s="101"/>
      <c r="C65" s="101"/>
      <c r="D65" s="227"/>
      <c r="E65" s="310"/>
      <c r="F65" s="312"/>
      <c r="G65" s="310"/>
      <c r="H65" s="234"/>
      <c r="I65" s="234"/>
      <c r="J65" s="308"/>
      <c r="K65" s="298"/>
      <c r="L65" s="298"/>
      <c r="M65" s="309"/>
      <c r="N65" s="206"/>
      <c r="O65" s="55"/>
      <c r="P65" s="319"/>
      <c r="Q65" s="321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</row>
    <row r="66" spans="1:75" ht="12.75">
      <c r="A66" s="493"/>
      <c r="B66" s="493"/>
      <c r="C66" s="493"/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</row>
    <row r="67" spans="1:75" ht="12.75">
      <c r="A67" s="494" t="s">
        <v>822</v>
      </c>
      <c r="B67" s="493"/>
      <c r="C67" s="493"/>
      <c r="D67" s="493"/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3"/>
      <c r="P67" s="493"/>
      <c r="Q67" s="493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</row>
    <row r="68" spans="1:75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493"/>
      <c r="Q68" s="493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</row>
    <row r="69" spans="1:75" ht="12.75">
      <c r="A69" s="747" t="s">
        <v>99</v>
      </c>
      <c r="B69" s="73" t="s">
        <v>138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493"/>
      <c r="Q69" s="493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</row>
    <row r="70" spans="1:75" ht="12.75">
      <c r="A70" s="355"/>
      <c r="B70" s="355"/>
      <c r="C70" s="355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493"/>
      <c r="Q70" s="493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</row>
    <row r="71" spans="1:75" ht="12.75">
      <c r="A71" s="66"/>
      <c r="B71" s="66"/>
      <c r="C71" s="1043"/>
      <c r="D71" s="1044"/>
      <c r="E71" s="66"/>
      <c r="F71" s="66"/>
      <c r="G71" s="66"/>
      <c r="H71" s="66"/>
      <c r="I71" s="66"/>
      <c r="J71" s="66"/>
      <c r="K71" s="66"/>
      <c r="L71" s="493"/>
      <c r="M71" s="493"/>
      <c r="N71" s="493"/>
      <c r="O71" s="493"/>
      <c r="P71" s="493"/>
      <c r="Q71" s="493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</row>
    <row r="72" spans="1:75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747" t="s">
        <v>593</v>
      </c>
      <c r="L72" s="880">
        <f>IF(Input!E14="","",Input!E14)</f>
      </c>
      <c r="M72" s="881"/>
      <c r="N72" s="493"/>
      <c r="O72" s="493"/>
      <c r="P72" s="493"/>
      <c r="Q72" s="493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</row>
    <row r="73" spans="1:75" ht="12.75">
      <c r="A73" s="22" t="s">
        <v>1274</v>
      </c>
      <c r="B73" s="66"/>
      <c r="C73" s="494"/>
      <c r="D73" s="494"/>
      <c r="E73" s="494"/>
      <c r="F73" s="494"/>
      <c r="G73" s="494"/>
      <c r="H73" s="494"/>
      <c r="I73" s="494"/>
      <c r="J73" s="494"/>
      <c r="K73" s="494"/>
      <c r="L73" s="494"/>
      <c r="M73" s="494"/>
      <c r="N73" s="494"/>
      <c r="O73" s="494"/>
      <c r="P73" s="493"/>
      <c r="Q73" s="493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</row>
    <row r="74" spans="20:75" ht="12.75"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</row>
    <row r="75" spans="20:75" ht="12.75"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</row>
    <row r="76" spans="20:75" ht="12.75"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</row>
    <row r="77" spans="20:75" ht="12.75"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</row>
    <row r="78" spans="20:75" ht="12.75"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</row>
    <row r="79" spans="20:75" ht="12.75"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</row>
    <row r="80" spans="20:75" ht="12.75"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</row>
    <row r="81" spans="20:75" ht="12.75"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</row>
    <row r="82" spans="20:75" ht="12.75"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</row>
    <row r="83" spans="20:75" ht="12.75"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</row>
    <row r="84" spans="20:75" ht="12.75"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</row>
    <row r="85" spans="1:75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</row>
    <row r="86" spans="1:75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</row>
    <row r="87" spans="1:75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</row>
    <row r="88" spans="1:75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</row>
    <row r="89" spans="1:75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</row>
    <row r="90" spans="1:75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</row>
    <row r="91" spans="1:75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</row>
    <row r="92" spans="1:75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</row>
    <row r="93" spans="1:75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</row>
    <row r="94" spans="1:75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</row>
    <row r="95" spans="1:75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</row>
    <row r="96" spans="1:75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</row>
    <row r="97" spans="1:75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</row>
    <row r="98" spans="1:75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</row>
    <row r="99" spans="1:75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</row>
    <row r="100" spans="1:75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</row>
    <row r="101" spans="1:75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</row>
    <row r="102" spans="1:75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</row>
    <row r="103" spans="1:75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</row>
    <row r="104" spans="1:75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</row>
    <row r="105" spans="1:75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</row>
    <row r="106" spans="1:75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</row>
    <row r="107" spans="1:75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</row>
    <row r="108" spans="1:75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</row>
    <row r="109" spans="1:75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</row>
    <row r="110" spans="1:75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</row>
    <row r="111" spans="1:75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</row>
    <row r="112" spans="1:75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</row>
    <row r="113" spans="1:75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</row>
    <row r="114" spans="1:75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</row>
    <row r="115" spans="1:75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</row>
    <row r="116" spans="1:75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</row>
    <row r="117" spans="1:75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</row>
    <row r="118" spans="1:75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</row>
    <row r="119" spans="1:75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</row>
    <row r="152" spans="1:19" ht="12.75">
      <c r="A152" s="8"/>
      <c r="B152" s="40"/>
      <c r="J152" s="72"/>
      <c r="K152" s="65"/>
      <c r="L152" s="1045"/>
      <c r="M152" s="1045"/>
      <c r="N152" s="65"/>
      <c r="O152" s="8"/>
      <c r="P152" s="8"/>
      <c r="Q152" s="8"/>
      <c r="R152" s="8"/>
      <c r="S152" s="18"/>
    </row>
    <row r="153" spans="1:19" ht="12.75">
      <c r="A153" s="8"/>
      <c r="B153" s="8"/>
      <c r="J153" s="40"/>
      <c r="K153" s="65"/>
      <c r="L153" s="74"/>
      <c r="M153" s="290"/>
      <c r="N153" s="153"/>
      <c r="O153" s="40"/>
      <c r="P153" s="8"/>
      <c r="Q153" s="8"/>
      <c r="R153" s="8"/>
      <c r="S153" s="18"/>
    </row>
    <row r="154" spans="1:19" ht="12.75">
      <c r="A154" s="8"/>
      <c r="B154" s="8"/>
      <c r="J154" s="40"/>
      <c r="K154" s="65"/>
      <c r="L154" s="74"/>
      <c r="M154" s="291"/>
      <c r="N154" s="153"/>
      <c r="O154" s="40"/>
      <c r="P154" s="8"/>
      <c r="Q154" s="8"/>
      <c r="R154" s="8"/>
      <c r="S154" s="18"/>
    </row>
    <row r="155" spans="1:19" ht="12.75">
      <c r="A155" s="8"/>
      <c r="B155" s="8"/>
      <c r="J155" s="40"/>
      <c r="K155" s="65"/>
      <c r="L155" s="74"/>
      <c r="M155" s="292"/>
      <c r="N155" s="153"/>
      <c r="O155" s="40"/>
      <c r="P155" s="8"/>
      <c r="Q155" s="8"/>
      <c r="R155" s="8"/>
      <c r="S155" s="18"/>
    </row>
    <row r="156" spans="1:19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18"/>
    </row>
    <row r="157" spans="1:19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18"/>
    </row>
    <row r="158" spans="18:19" ht="12.75">
      <c r="R158" s="8"/>
      <c r="S158" s="18"/>
    </row>
    <row r="159" spans="18:19" ht="12.75">
      <c r="R159" s="8"/>
      <c r="S159" s="18"/>
    </row>
    <row r="160" spans="18:19" ht="12.75">
      <c r="R160" s="8"/>
      <c r="S160" s="18"/>
    </row>
    <row r="161" spans="18:19" ht="12.75">
      <c r="R161" s="8"/>
      <c r="S161" s="18"/>
    </row>
    <row r="162" spans="18:19" ht="12.75">
      <c r="R162" s="8"/>
      <c r="S162" s="18"/>
    </row>
    <row r="163" spans="18:19" ht="12.75">
      <c r="R163" s="8"/>
      <c r="S163" s="18"/>
    </row>
    <row r="164" spans="18:19" ht="12.75">
      <c r="R164" s="8"/>
      <c r="S164" s="18"/>
    </row>
    <row r="165" spans="18:19" ht="12.75">
      <c r="R165" s="8"/>
      <c r="S165" s="18"/>
    </row>
    <row r="166" spans="18:19" ht="12.75">
      <c r="R166" s="8"/>
      <c r="S166" s="18"/>
    </row>
    <row r="167" spans="18:19" ht="12.75">
      <c r="R167" s="8"/>
      <c r="S167" s="18"/>
    </row>
    <row r="168" spans="18:19" ht="12.75">
      <c r="R168" s="8"/>
      <c r="S168" s="18"/>
    </row>
    <row r="169" spans="18:19" ht="12.75">
      <c r="R169" s="8"/>
      <c r="S169" s="18"/>
    </row>
    <row r="170" spans="18:19" ht="12.75">
      <c r="R170" s="8"/>
      <c r="S170" s="18"/>
    </row>
    <row r="171" spans="18:19" ht="12.75">
      <c r="R171" s="8"/>
      <c r="S171" s="18"/>
    </row>
    <row r="172" spans="18:19" ht="12.75">
      <c r="R172" s="8"/>
      <c r="S172" s="18"/>
    </row>
    <row r="173" spans="18:19" ht="12.75">
      <c r="R173" s="8"/>
      <c r="S173" s="18"/>
    </row>
    <row r="174" spans="18:19" ht="12.75">
      <c r="R174" s="8"/>
      <c r="S174" s="18"/>
    </row>
    <row r="175" spans="18:19" ht="12.75">
      <c r="R175" s="8"/>
      <c r="S175" s="18"/>
    </row>
    <row r="176" spans="18:19" ht="12.75">
      <c r="R176" s="8"/>
      <c r="S176" s="18"/>
    </row>
    <row r="177" spans="18:19" ht="12.75">
      <c r="R177" s="8"/>
      <c r="S177" s="18"/>
    </row>
    <row r="178" spans="18:19" ht="12.75">
      <c r="R178" s="8"/>
      <c r="S178" s="18"/>
    </row>
    <row r="179" spans="18:19" ht="12.75">
      <c r="R179" s="8"/>
      <c r="S179" s="18"/>
    </row>
    <row r="180" spans="18:19" ht="12.75">
      <c r="R180" s="8"/>
      <c r="S180" s="18"/>
    </row>
    <row r="181" spans="18:19" ht="12.75">
      <c r="R181" s="40"/>
      <c r="S181" s="18"/>
    </row>
    <row r="182" spans="18:19" ht="12.75">
      <c r="R182" s="18"/>
      <c r="S182" s="18"/>
    </row>
    <row r="183" spans="18:19" ht="12.75">
      <c r="R183" s="18"/>
      <c r="S183" s="18"/>
    </row>
    <row r="184" spans="18:19" ht="12.75">
      <c r="R184" s="18"/>
      <c r="S184" s="18"/>
    </row>
    <row r="185" spans="18:19" ht="12.75">
      <c r="R185" s="18"/>
      <c r="S185" s="18"/>
    </row>
    <row r="186" spans="18:19" ht="12.75">
      <c r="R186" s="18"/>
      <c r="S186" s="18"/>
    </row>
    <row r="187" spans="18:19" ht="12.75">
      <c r="R187" s="18"/>
      <c r="S187" s="18"/>
    </row>
    <row r="188" spans="18:19" ht="12.75">
      <c r="R188" s="18"/>
      <c r="S188" s="18"/>
    </row>
    <row r="189" spans="1:19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</sheetData>
  <sheetProtection sheet="1" objects="1" scenarios="1"/>
  <mergeCells count="26">
    <mergeCell ref="L152:M152"/>
    <mergeCell ref="A38:A39"/>
    <mergeCell ref="A40:A41"/>
    <mergeCell ref="A52:A53"/>
    <mergeCell ref="A54:A55"/>
    <mergeCell ref="A56:A57"/>
    <mergeCell ref="A42:A43"/>
    <mergeCell ref="C71:D71"/>
    <mergeCell ref="A58:A59"/>
    <mergeCell ref="A60:A61"/>
    <mergeCell ref="A62:A63"/>
    <mergeCell ref="A64:A65"/>
    <mergeCell ref="E1:G1"/>
    <mergeCell ref="C3:E3"/>
    <mergeCell ref="E25:F25"/>
    <mergeCell ref="A13:Q13"/>
    <mergeCell ref="A12:Q12"/>
    <mergeCell ref="A11:Q11"/>
    <mergeCell ref="A10:Q10"/>
    <mergeCell ref="A44:A45"/>
    <mergeCell ref="A50:A51"/>
    <mergeCell ref="A32:A33"/>
    <mergeCell ref="C25:D25"/>
    <mergeCell ref="A30:A31"/>
    <mergeCell ref="A34:A35"/>
    <mergeCell ref="A36:A37"/>
  </mergeCells>
  <printOptions horizontalCentered="1" verticalCentered="1"/>
  <pageMargins left="0.5" right="0.5" top="0.5" bottom="0.5" header="0" footer="0"/>
  <pageSetup fitToHeight="1" fitToWidth="1" horizontalDpi="600" verticalDpi="600" orientation="landscape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R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2.8515625" style="0" bestFit="1" customWidth="1"/>
    <col min="3" max="3" width="15.7109375" style="0" customWidth="1"/>
    <col min="4" max="4" width="22.8515625" style="0" bestFit="1" customWidth="1"/>
    <col min="5" max="6" width="20.7109375" style="0" customWidth="1"/>
    <col min="8" max="8" width="17.8515625" style="0" bestFit="1" customWidth="1"/>
  </cols>
  <sheetData>
    <row r="1" spans="1:8" ht="12.75">
      <c r="A1" s="493"/>
      <c r="B1" s="530"/>
      <c r="C1" s="485" t="s">
        <v>860</v>
      </c>
      <c r="D1" s="484"/>
      <c r="E1" s="484"/>
      <c r="F1" s="210"/>
      <c r="G1" s="210"/>
      <c r="H1" s="210"/>
    </row>
    <row r="2" spans="1:9" ht="15.75">
      <c r="A2" s="706" t="s">
        <v>783</v>
      </c>
      <c r="B2" s="493"/>
      <c r="C2" s="705"/>
      <c r="D2" s="705"/>
      <c r="E2" s="705"/>
      <c r="F2" s="705"/>
      <c r="G2" s="705"/>
      <c r="H2" s="705"/>
      <c r="I2" s="530"/>
    </row>
    <row r="3" spans="1:9" ht="12.75">
      <c r="A3" s="545"/>
      <c r="B3" s="741"/>
      <c r="C3" s="836"/>
      <c r="D3" s="741"/>
      <c r="E3" s="836"/>
      <c r="F3" s="741"/>
      <c r="G3" s="836"/>
      <c r="H3" s="705"/>
      <c r="I3" s="530"/>
    </row>
    <row r="4" spans="1:9" ht="12.75">
      <c r="A4" s="545"/>
      <c r="B4" s="741"/>
      <c r="C4" s="836"/>
      <c r="D4" s="741"/>
      <c r="E4" s="836"/>
      <c r="F4" s="741"/>
      <c r="G4" s="836"/>
      <c r="H4" s="705"/>
      <c r="I4" s="530"/>
    </row>
    <row r="5" spans="1:9" ht="12.75">
      <c r="A5" s="545"/>
      <c r="B5" s="741"/>
      <c r="C5" s="836"/>
      <c r="D5" s="741"/>
      <c r="E5" s="836"/>
      <c r="F5" s="741"/>
      <c r="G5" s="836"/>
      <c r="H5" s="705"/>
      <c r="I5" s="530"/>
    </row>
    <row r="6" spans="1:9" ht="12.75">
      <c r="A6" s="530"/>
      <c r="B6" s="705"/>
      <c r="C6" s="705"/>
      <c r="D6" s="705"/>
      <c r="E6" s="705"/>
      <c r="F6" s="705"/>
      <c r="G6" s="705"/>
      <c r="H6" s="705"/>
      <c r="I6" s="530"/>
    </row>
    <row r="7" spans="1:9" ht="12.75">
      <c r="A7" s="493"/>
      <c r="B7" s="493"/>
      <c r="C7" s="493"/>
      <c r="D7" s="493"/>
      <c r="E7" s="493"/>
      <c r="F7" s="493"/>
      <c r="G7" s="493"/>
      <c r="H7" s="493"/>
      <c r="I7" s="493"/>
    </row>
    <row r="8" spans="1:9" ht="12.75">
      <c r="A8" s="894" t="s">
        <v>871</v>
      </c>
      <c r="B8" s="493"/>
      <c r="C8" s="493"/>
      <c r="D8" s="493"/>
      <c r="E8" s="493"/>
      <c r="F8" s="493"/>
      <c r="G8" s="493"/>
      <c r="H8" s="493"/>
      <c r="I8" s="493"/>
    </row>
    <row r="9" spans="1:9" ht="4.5" customHeight="1">
      <c r="A9" s="895"/>
      <c r="B9" s="895"/>
      <c r="C9" s="895"/>
      <c r="D9" s="895"/>
      <c r="E9" s="895"/>
      <c r="F9" s="895"/>
      <c r="G9" s="895"/>
      <c r="H9" s="895"/>
      <c r="I9" s="493"/>
    </row>
    <row r="10" spans="1:18" ht="19.5" customHeight="1">
      <c r="A10" s="22" t="s">
        <v>637</v>
      </c>
      <c r="B10" s="1048" t="str">
        <f>IF(Thermal!A24="","",Thermal!A24)</f>
        <v>Illinois Department of Transportation</v>
      </c>
      <c r="C10" s="1026"/>
      <c r="D10" s="1026"/>
      <c r="E10" s="1026"/>
      <c r="F10" s="1026"/>
      <c r="G10" s="1026"/>
      <c r="H10" s="1026"/>
      <c r="I10" s="22"/>
      <c r="J10" s="21"/>
      <c r="K10" s="21"/>
      <c r="L10" s="21"/>
      <c r="M10" s="21"/>
      <c r="N10" s="21"/>
      <c r="O10" s="40"/>
      <c r="P10" s="40"/>
      <c r="Q10" s="40"/>
      <c r="R10" s="40"/>
    </row>
    <row r="11" spans="1:18" ht="19.5" customHeight="1">
      <c r="A11" s="22"/>
      <c r="B11" s="1036" t="s">
        <v>699</v>
      </c>
      <c r="C11" s="1026"/>
      <c r="D11" s="1026"/>
      <c r="E11" s="1026"/>
      <c r="F11" s="1026"/>
      <c r="G11" s="1026"/>
      <c r="H11" s="1026"/>
      <c r="I11" s="22"/>
      <c r="J11" s="21"/>
      <c r="K11" s="21"/>
      <c r="L11" s="21"/>
      <c r="M11" s="21"/>
      <c r="N11" s="21"/>
      <c r="O11" s="40"/>
      <c r="P11" s="40"/>
      <c r="Q11" s="40"/>
      <c r="R11" s="40"/>
    </row>
    <row r="12" spans="1:18" ht="19.5" customHeight="1">
      <c r="A12" s="22"/>
      <c r="B12" s="22" t="s">
        <v>638</v>
      </c>
      <c r="C12" s="22"/>
      <c r="D12" s="22"/>
      <c r="E12" s="22"/>
      <c r="F12" s="22"/>
      <c r="G12" s="22"/>
      <c r="H12" s="7" t="s">
        <v>1310</v>
      </c>
      <c r="I12" s="22"/>
      <c r="J12" s="21"/>
      <c r="K12" s="21"/>
      <c r="L12" s="21"/>
      <c r="M12" s="21"/>
      <c r="N12" s="21"/>
      <c r="O12" s="40"/>
      <c r="P12" s="40"/>
      <c r="Q12" s="40"/>
      <c r="R12" s="40"/>
    </row>
    <row r="13" spans="1:18" ht="19.5" customHeight="1">
      <c r="A13" s="22"/>
      <c r="B13" s="505" t="s">
        <v>745</v>
      </c>
      <c r="C13" s="915">
        <f>+IF(Input!E7="","",Input!E7)</f>
      </c>
      <c r="D13" s="505" t="s">
        <v>746</v>
      </c>
      <c r="E13" s="915">
        <f>+IF(Input!B37="","",Input!B37)</f>
      </c>
      <c r="F13" s="22"/>
      <c r="G13" s="897"/>
      <c r="H13" s="898"/>
      <c r="I13" s="22"/>
      <c r="J13" s="21"/>
      <c r="K13" s="21"/>
      <c r="L13" s="21"/>
      <c r="M13" s="21"/>
      <c r="N13" s="21"/>
      <c r="O13" s="40"/>
      <c r="P13" s="40"/>
      <c r="Q13" s="40"/>
      <c r="R13" s="40"/>
    </row>
    <row r="14" spans="1:18" ht="19.5" customHeight="1">
      <c r="A14" s="22"/>
      <c r="B14" s="22"/>
      <c r="C14" s="23"/>
      <c r="D14" s="22"/>
      <c r="E14" s="23"/>
      <c r="F14" s="22"/>
      <c r="G14" s="899" t="s">
        <v>632</v>
      </c>
      <c r="H14" s="918">
        <f>IF(Input!B33="","",Input!B33)</f>
      </c>
      <c r="I14" s="22"/>
      <c r="J14" s="21"/>
      <c r="K14" s="21"/>
      <c r="L14" s="21"/>
      <c r="M14" s="21"/>
      <c r="N14" s="21"/>
      <c r="O14" s="40"/>
      <c r="P14" s="40"/>
      <c r="Q14" s="40"/>
      <c r="R14" s="40"/>
    </row>
    <row r="15" spans="1:18" ht="19.5" customHeight="1">
      <c r="A15" s="22"/>
      <c r="B15" s="22" t="s">
        <v>639</v>
      </c>
      <c r="C15" s="23"/>
      <c r="D15" s="22"/>
      <c r="E15" s="23"/>
      <c r="F15" s="22"/>
      <c r="G15" s="899"/>
      <c r="H15" s="919"/>
      <c r="I15" s="22"/>
      <c r="J15" s="21"/>
      <c r="K15" s="21"/>
      <c r="L15" s="21"/>
      <c r="M15" s="21"/>
      <c r="N15" s="21"/>
      <c r="O15" s="40"/>
      <c r="P15" s="40"/>
      <c r="Q15" s="40"/>
      <c r="R15" s="40"/>
    </row>
    <row r="16" spans="1:18" ht="19.5" customHeight="1">
      <c r="A16" s="22"/>
      <c r="B16" s="901" t="s">
        <v>785</v>
      </c>
      <c r="C16" s="915">
        <f>IF(Input!E8="","",Input!E8)</f>
      </c>
      <c r="D16" s="901" t="s">
        <v>640</v>
      </c>
      <c r="E16" s="915">
        <f>IF(C16="","",Input!E7&amp;" "&amp;Input!E11)</f>
      </c>
      <c r="F16" s="896"/>
      <c r="G16" s="899" t="s">
        <v>633</v>
      </c>
      <c r="H16" s="918">
        <f>IF(Input!B31="","",Input!B31)</f>
      </c>
      <c r="I16" s="22"/>
      <c r="J16" s="21"/>
      <c r="K16" s="21"/>
      <c r="L16" s="21"/>
      <c r="M16" s="21"/>
      <c r="N16" s="21"/>
      <c r="O16" s="40"/>
      <c r="P16" s="40"/>
      <c r="Q16" s="40"/>
      <c r="R16" s="40"/>
    </row>
    <row r="17" spans="1:18" ht="19.5" customHeight="1">
      <c r="A17" s="22"/>
      <c r="B17" s="901"/>
      <c r="C17" s="23"/>
      <c r="D17" s="901"/>
      <c r="E17" s="23"/>
      <c r="F17" s="22"/>
      <c r="G17" s="899"/>
      <c r="H17" s="919"/>
      <c r="I17" s="22"/>
      <c r="J17" s="21"/>
      <c r="K17" s="21"/>
      <c r="L17" s="21"/>
      <c r="M17" s="21"/>
      <c r="N17" s="21"/>
      <c r="O17" s="40"/>
      <c r="P17" s="40"/>
      <c r="Q17" s="40"/>
      <c r="R17" s="40"/>
    </row>
    <row r="18" spans="1:18" ht="19.5" customHeight="1">
      <c r="A18" s="22"/>
      <c r="B18" s="901"/>
      <c r="C18" s="915"/>
      <c r="D18" s="901"/>
      <c r="E18" s="915"/>
      <c r="F18" s="22"/>
      <c r="G18" s="899" t="s">
        <v>634</v>
      </c>
      <c r="H18" s="918">
        <f>IF(Input!B30="","",Input!B30)</f>
      </c>
      <c r="I18" s="22"/>
      <c r="J18" s="21"/>
      <c r="K18" s="21"/>
      <c r="L18" s="21"/>
      <c r="M18" s="21"/>
      <c r="N18" s="21"/>
      <c r="O18" s="40"/>
      <c r="P18" s="40"/>
      <c r="Q18" s="40"/>
      <c r="R18" s="40"/>
    </row>
    <row r="19" spans="1:18" ht="19.5" customHeight="1">
      <c r="A19" s="22"/>
      <c r="B19" s="901"/>
      <c r="C19" s="23"/>
      <c r="D19" s="901"/>
      <c r="E19" s="23"/>
      <c r="F19" s="902"/>
      <c r="G19" s="903"/>
      <c r="H19" s="919"/>
      <c r="I19" s="22"/>
      <c r="J19" s="21"/>
      <c r="K19" s="21"/>
      <c r="L19" s="21"/>
      <c r="M19" s="21"/>
      <c r="N19" s="21"/>
      <c r="O19" s="40"/>
      <c r="P19" s="40"/>
      <c r="Q19" s="40"/>
      <c r="R19" s="40"/>
    </row>
    <row r="20" spans="1:18" ht="19.5" customHeight="1">
      <c r="A20" s="22"/>
      <c r="B20" s="904"/>
      <c r="C20" s="915"/>
      <c r="D20" s="901"/>
      <c r="E20" s="915"/>
      <c r="F20" s="705"/>
      <c r="G20" s="903" t="s">
        <v>635</v>
      </c>
      <c r="H20" s="918">
        <f>IF(Input!B35="","",Input!B35)</f>
      </c>
      <c r="I20" s="22"/>
      <c r="J20" s="21"/>
      <c r="K20" s="21"/>
      <c r="L20" s="21"/>
      <c r="M20" s="21"/>
      <c r="N20" s="21"/>
      <c r="O20" s="40"/>
      <c r="P20" s="40"/>
      <c r="Q20" s="40"/>
      <c r="R20" s="40"/>
    </row>
    <row r="21" spans="1:18" ht="19.5" customHeight="1">
      <c r="A21" s="22"/>
      <c r="B21" s="904"/>
      <c r="C21" s="916"/>
      <c r="D21" s="904"/>
      <c r="E21" s="916"/>
      <c r="F21" s="545"/>
      <c r="G21" s="903"/>
      <c r="H21" s="919"/>
      <c r="I21" s="22"/>
      <c r="J21" s="21"/>
      <c r="K21" s="21"/>
      <c r="L21" s="21"/>
      <c r="M21" s="21"/>
      <c r="N21" s="21"/>
      <c r="O21" s="40"/>
      <c r="P21" s="40"/>
      <c r="Q21" s="40"/>
      <c r="R21" s="40"/>
    </row>
    <row r="22" spans="1:18" ht="19.5" customHeight="1">
      <c r="A22" s="22"/>
      <c r="B22" s="901" t="s">
        <v>642</v>
      </c>
      <c r="C22" s="362"/>
      <c r="D22" s="901" t="s">
        <v>643</v>
      </c>
      <c r="E22" s="917"/>
      <c r="F22" s="705"/>
      <c r="G22" s="903" t="s">
        <v>641</v>
      </c>
      <c r="H22" s="918">
        <f>IF(Input!B34="","",Input!B34)</f>
      </c>
      <c r="I22" s="22"/>
      <c r="J22" s="21"/>
      <c r="K22" s="21"/>
      <c r="L22" s="21"/>
      <c r="M22" s="21"/>
      <c r="N22" s="21"/>
      <c r="O22" s="40"/>
      <c r="P22" s="40"/>
      <c r="Q22" s="40"/>
      <c r="R22" s="40"/>
    </row>
    <row r="23" spans="1:18" ht="19.5" customHeight="1">
      <c r="A23" s="22"/>
      <c r="B23" s="22"/>
      <c r="C23" s="22" t="s">
        <v>644</v>
      </c>
      <c r="D23" s="22"/>
      <c r="E23" s="22"/>
      <c r="F23" s="22"/>
      <c r="G23" s="899"/>
      <c r="H23" s="898"/>
      <c r="I23" s="22"/>
      <c r="J23" s="21"/>
      <c r="K23" s="21"/>
      <c r="L23" s="21"/>
      <c r="M23" s="21"/>
      <c r="N23" s="21"/>
      <c r="O23" s="40"/>
      <c r="P23" s="40"/>
      <c r="Q23" s="40"/>
      <c r="R23" s="40"/>
    </row>
    <row r="24" spans="1:18" ht="19.5" customHeight="1">
      <c r="A24" s="22"/>
      <c r="B24" s="493"/>
      <c r="C24" s="493"/>
      <c r="D24" s="493"/>
      <c r="E24" s="493"/>
      <c r="F24" s="22"/>
      <c r="G24" s="905"/>
      <c r="H24" s="900"/>
      <c r="I24" s="22"/>
      <c r="J24" s="21"/>
      <c r="K24" s="21"/>
      <c r="L24" s="21"/>
      <c r="M24" s="21"/>
      <c r="N24" s="21"/>
      <c r="O24" s="40"/>
      <c r="P24" s="40"/>
      <c r="Q24" s="40"/>
      <c r="R24" s="40"/>
    </row>
    <row r="25" spans="1:18" ht="19.5" customHeight="1">
      <c r="A25" s="22"/>
      <c r="B25" s="493"/>
      <c r="C25" s="493"/>
      <c r="D25" s="493"/>
      <c r="E25" s="493"/>
      <c r="F25" s="22"/>
      <c r="G25" s="22"/>
      <c r="H25" s="22"/>
      <c r="I25" s="22"/>
      <c r="J25" s="21"/>
      <c r="K25" s="21"/>
      <c r="L25" s="21"/>
      <c r="M25" s="21"/>
      <c r="N25" s="21"/>
      <c r="O25" s="40"/>
      <c r="P25" s="40"/>
      <c r="Q25" s="40"/>
      <c r="R25" s="40"/>
    </row>
    <row r="26" spans="1:18" ht="19.5" customHeight="1">
      <c r="A26" s="22"/>
      <c r="B26" s="22"/>
      <c r="C26" s="22"/>
      <c r="D26" s="22"/>
      <c r="E26" s="22"/>
      <c r="F26" s="22"/>
      <c r="G26" s="22"/>
      <c r="H26" s="22"/>
      <c r="I26" s="22"/>
      <c r="J26" s="21"/>
      <c r="K26" s="21"/>
      <c r="L26" s="21"/>
      <c r="M26" s="21"/>
      <c r="N26" s="21"/>
      <c r="O26" s="40"/>
      <c r="P26" s="40"/>
      <c r="Q26" s="40"/>
      <c r="R26" s="40"/>
    </row>
    <row r="27" spans="1:18" ht="19.5" customHeight="1">
      <c r="A27" s="906"/>
      <c r="B27" s="907" t="s">
        <v>636</v>
      </c>
      <c r="C27" s="907" t="s">
        <v>645</v>
      </c>
      <c r="D27" s="907" t="s">
        <v>646</v>
      </c>
      <c r="E27" s="907" t="s">
        <v>647</v>
      </c>
      <c r="F27" s="907" t="s">
        <v>648</v>
      </c>
      <c r="G27" s="908" t="s">
        <v>649</v>
      </c>
      <c r="H27" s="909" t="s">
        <v>650</v>
      </c>
      <c r="I27" s="22"/>
      <c r="J27" s="21"/>
      <c r="K27" s="21"/>
      <c r="L27" s="21"/>
      <c r="M27" s="21"/>
      <c r="N27" s="21"/>
      <c r="O27" s="40"/>
      <c r="P27" s="40"/>
      <c r="Q27" s="40"/>
      <c r="R27" s="40"/>
    </row>
    <row r="28" spans="1:18" ht="19.5" customHeight="1">
      <c r="A28" s="910"/>
      <c r="B28" s="911" t="s">
        <v>651</v>
      </c>
      <c r="C28" s="911" t="s">
        <v>652</v>
      </c>
      <c r="D28" s="911" t="s">
        <v>653</v>
      </c>
      <c r="E28" s="911" t="s">
        <v>654</v>
      </c>
      <c r="F28" s="911" t="s">
        <v>784</v>
      </c>
      <c r="G28" s="896" t="s">
        <v>655</v>
      </c>
      <c r="H28" s="910" t="s">
        <v>656</v>
      </c>
      <c r="I28" s="22"/>
      <c r="J28" s="21"/>
      <c r="K28" s="21"/>
      <c r="L28" s="21"/>
      <c r="M28" s="21"/>
      <c r="N28" s="21"/>
      <c r="O28" s="40"/>
      <c r="P28" s="40"/>
      <c r="Q28" s="40"/>
      <c r="R28" s="40"/>
    </row>
    <row r="29" spans="1:18" ht="19.5" customHeight="1">
      <c r="A29" s="920">
        <v>1</v>
      </c>
      <c r="B29" s="921">
        <f>IF(H22="","",H22)</f>
      </c>
      <c r="C29" s="921">
        <f>IF(H20="","",H20)</f>
      </c>
      <c r="D29" s="921">
        <f>IF(Input!$B$10="","",(Input!$B$10&amp;" ("&amp;Input!$E$5&amp;")"))</f>
      </c>
      <c r="E29" s="921"/>
      <c r="F29" s="921">
        <f>IF(Input!C$79="","",Input!C$79)</f>
      </c>
      <c r="G29" s="922">
        <f>IF(Input!E6="","",Input!E6)</f>
      </c>
      <c r="H29" s="923"/>
      <c r="I29" s="22"/>
      <c r="J29" s="21"/>
      <c r="K29" s="21"/>
      <c r="L29" s="21"/>
      <c r="M29" s="21"/>
      <c r="N29" s="21"/>
      <c r="O29" s="40"/>
      <c r="P29" s="40"/>
      <c r="Q29" s="40"/>
      <c r="R29" s="40"/>
    </row>
    <row r="30" spans="1:18" ht="19.5" customHeight="1">
      <c r="A30" s="923"/>
      <c r="B30" s="921"/>
      <c r="C30" s="921">
        <f>IF(F29="","","VIS")</f>
      </c>
      <c r="D30" s="354"/>
      <c r="E30" s="354"/>
      <c r="F30" s="354"/>
      <c r="G30" s="922">
        <f>IF(F29="","",Input!B79)</f>
      </c>
      <c r="H30" s="924">
        <f>IF(F29="","",$E$22)</f>
      </c>
      <c r="I30" s="22"/>
      <c r="J30" s="21"/>
      <c r="K30" s="21"/>
      <c r="L30" s="21"/>
      <c r="M30" s="21"/>
      <c r="N30" s="21"/>
      <c r="O30" s="40"/>
      <c r="P30" s="40"/>
      <c r="Q30" s="40"/>
      <c r="R30" s="40"/>
    </row>
    <row r="31" spans="1:18" ht="19.5" customHeight="1">
      <c r="A31" s="920">
        <v>2</v>
      </c>
      <c r="B31" s="921">
        <f>IF(F31="","",$B$29)</f>
      </c>
      <c r="C31" s="921">
        <f>IF(F31="","",$C$29)</f>
      </c>
      <c r="D31" s="921">
        <f>IF(F31="","",$D$29)</f>
      </c>
      <c r="E31" s="921"/>
      <c r="F31" s="921">
        <f>IF(Input!C80="","",Input!C80)</f>
      </c>
      <c r="G31" s="922">
        <f>IF(F31="","",$G$29)</f>
      </c>
      <c r="H31" s="923"/>
      <c r="I31" s="22"/>
      <c r="J31" s="41"/>
      <c r="K31" s="21"/>
      <c r="L31" s="21"/>
      <c r="M31" s="21"/>
      <c r="N31" s="21"/>
      <c r="O31" s="40"/>
      <c r="P31" s="40"/>
      <c r="Q31" s="40"/>
      <c r="R31" s="40"/>
    </row>
    <row r="32" spans="1:18" ht="19.5" customHeight="1">
      <c r="A32" s="923"/>
      <c r="B32" s="921"/>
      <c r="C32" s="921">
        <f>IF(F31="","","VIS")</f>
      </c>
      <c r="D32" s="354"/>
      <c r="E32" s="354"/>
      <c r="F32" s="354"/>
      <c r="G32" s="922">
        <f>IF(F31="","",Input!B80)</f>
      </c>
      <c r="H32" s="924">
        <f>IF(F31="","",$E$22)</f>
      </c>
      <c r="I32" s="22"/>
      <c r="J32" s="21"/>
      <c r="K32" s="21"/>
      <c r="L32" s="21"/>
      <c r="M32" s="21"/>
      <c r="N32" s="21"/>
      <c r="O32" s="40"/>
      <c r="P32" s="40"/>
      <c r="Q32" s="40"/>
      <c r="R32" s="40"/>
    </row>
    <row r="33" spans="1:18" ht="19.5" customHeight="1">
      <c r="A33" s="920">
        <v>3</v>
      </c>
      <c r="B33" s="921">
        <f>IF(F33="","",$B$29)</f>
      </c>
      <c r="C33" s="921">
        <f>IF(F33="","",$C$29)</f>
      </c>
      <c r="D33" s="921">
        <f>IF(F33="","",$D$29)</f>
      </c>
      <c r="E33" s="921"/>
      <c r="F33" s="921">
        <f>IF(Input!C81="","",Input!C81)</f>
      </c>
      <c r="G33" s="922">
        <f>IF(F33="","",$G$29)</f>
      </c>
      <c r="H33" s="923"/>
      <c r="I33" s="22"/>
      <c r="J33" s="40"/>
      <c r="K33" s="21"/>
      <c r="L33" s="21"/>
      <c r="M33" s="21"/>
      <c r="N33" s="21"/>
      <c r="O33" s="40"/>
      <c r="P33" s="40"/>
      <c r="Q33" s="40"/>
      <c r="R33" s="40"/>
    </row>
    <row r="34" spans="1:18" ht="19.5" customHeight="1">
      <c r="A34" s="923"/>
      <c r="B34" s="921"/>
      <c r="C34" s="921">
        <f>IF(F33="","","VIS")</f>
      </c>
      <c r="D34" s="354"/>
      <c r="E34" s="354"/>
      <c r="F34" s="354"/>
      <c r="G34" s="922">
        <f>IF(F33="","",Input!B81)</f>
      </c>
      <c r="H34" s="924">
        <f>IF(F33="","",$E$22)</f>
      </c>
      <c r="I34" s="22"/>
      <c r="J34" s="21"/>
      <c r="K34" s="21"/>
      <c r="L34" s="21"/>
      <c r="M34" s="21"/>
      <c r="N34" s="21"/>
      <c r="O34" s="40"/>
      <c r="P34" s="40"/>
      <c r="Q34" s="40"/>
      <c r="R34" s="40"/>
    </row>
    <row r="35" spans="1:18" ht="19.5" customHeight="1">
      <c r="A35" s="920">
        <v>4</v>
      </c>
      <c r="B35" s="921">
        <f>IF(F35="","",$B$29)</f>
      </c>
      <c r="C35" s="921">
        <f>IF(F35="","",$C$29)</f>
      </c>
      <c r="D35" s="921">
        <f>IF(F35="","",$D$29)</f>
      </c>
      <c r="E35" s="921"/>
      <c r="F35" s="921">
        <f>IF(Input!C82="","",Input!C82)</f>
      </c>
      <c r="G35" s="922">
        <f>IF(F35="","",$G$29)</f>
      </c>
      <c r="H35" s="923"/>
      <c r="I35" s="22"/>
      <c r="J35" s="21"/>
      <c r="K35" s="21"/>
      <c r="L35" s="21"/>
      <c r="M35" s="21"/>
      <c r="N35" s="21"/>
      <c r="O35" s="40"/>
      <c r="P35" s="40"/>
      <c r="Q35" s="40"/>
      <c r="R35" s="40"/>
    </row>
    <row r="36" spans="1:18" ht="19.5" customHeight="1">
      <c r="A36" s="923"/>
      <c r="B36" s="921"/>
      <c r="C36" s="921">
        <f>IF(F35="","","VIS")</f>
      </c>
      <c r="D36" s="354"/>
      <c r="E36" s="354"/>
      <c r="F36" s="354"/>
      <c r="G36" s="922">
        <f>IF(F35="","",Input!B82)</f>
      </c>
      <c r="H36" s="924">
        <f>IF(F35="","",$E$22)</f>
      </c>
      <c r="I36" s="22"/>
      <c r="J36" s="21"/>
      <c r="K36" s="21"/>
      <c r="L36" s="21"/>
      <c r="M36" s="21"/>
      <c r="N36" s="21"/>
      <c r="O36" s="40"/>
      <c r="P36" s="40"/>
      <c r="Q36" s="40"/>
      <c r="R36" s="40"/>
    </row>
    <row r="37" spans="1:18" ht="19.5" customHeight="1">
      <c r="A37" s="920">
        <v>5</v>
      </c>
      <c r="B37" s="921">
        <f>IF(F37="","",$B$29)</f>
      </c>
      <c r="C37" s="921">
        <f>IF(F37="","",$C$29)</f>
      </c>
      <c r="D37" s="921">
        <f>IF(F37="","",$D$29)</f>
      </c>
      <c r="E37" s="921"/>
      <c r="F37" s="921">
        <f>IF(Input!C83="","",Input!C83)</f>
      </c>
      <c r="G37" s="922">
        <f>IF(F37="","",$G$29)</f>
      </c>
      <c r="H37" s="923"/>
      <c r="I37" s="22"/>
      <c r="J37" s="21"/>
      <c r="K37" s="21"/>
      <c r="L37" s="21"/>
      <c r="M37" s="21"/>
      <c r="N37" s="21"/>
      <c r="O37" s="40"/>
      <c r="P37" s="40"/>
      <c r="Q37" s="40"/>
      <c r="R37" s="40"/>
    </row>
    <row r="38" spans="1:18" ht="19.5" customHeight="1">
      <c r="A38" s="923"/>
      <c r="B38" s="921"/>
      <c r="C38" s="921">
        <f>IF(F37="","","VIS")</f>
      </c>
      <c r="D38" s="354"/>
      <c r="E38" s="354"/>
      <c r="F38" s="354"/>
      <c r="G38" s="922">
        <f>IF(F37="","",Input!B83)</f>
      </c>
      <c r="H38" s="924">
        <f>IF(F37="","",$E$22)</f>
      </c>
      <c r="I38" s="22"/>
      <c r="J38" s="21"/>
      <c r="K38" s="21"/>
      <c r="L38" s="21"/>
      <c r="M38" s="21"/>
      <c r="N38" s="21"/>
      <c r="O38" s="40"/>
      <c r="P38" s="40"/>
      <c r="Q38" s="40"/>
      <c r="R38" s="40"/>
    </row>
    <row r="39" spans="1:18" ht="19.5" customHeight="1">
      <c r="A39" s="925">
        <v>6</v>
      </c>
      <c r="B39" s="921">
        <f>IF(F39="","",$B$29)</f>
      </c>
      <c r="C39" s="921">
        <f>IF(F39="","",$C$29)</f>
      </c>
      <c r="D39" s="921">
        <f>IF(F39="","",$D$29)</f>
      </c>
      <c r="E39" s="921"/>
      <c r="F39" s="921">
        <f>IF(Input!C84="","",Input!C84)</f>
      </c>
      <c r="G39" s="922">
        <f>IF(F39="","",$G$29)</f>
      </c>
      <c r="H39" s="924"/>
      <c r="I39" s="22"/>
      <c r="J39" s="21"/>
      <c r="K39" s="21"/>
      <c r="L39" s="21"/>
      <c r="M39" s="21"/>
      <c r="N39" s="21"/>
      <c r="O39" s="40"/>
      <c r="P39" s="40"/>
      <c r="Q39" s="40"/>
      <c r="R39" s="40"/>
    </row>
    <row r="40" spans="1:18" ht="19.5" customHeight="1">
      <c r="A40" s="923"/>
      <c r="B40" s="921"/>
      <c r="C40" s="921">
        <f>IF(F39="","","VIS")</f>
      </c>
      <c r="D40" s="354"/>
      <c r="E40" s="354"/>
      <c r="F40" s="354"/>
      <c r="G40" s="922">
        <f>IF(F39="","",Input!B84)</f>
      </c>
      <c r="H40" s="924">
        <f>IF(F39="","",$E$22)</f>
      </c>
      <c r="I40" s="22"/>
      <c r="J40" s="21"/>
      <c r="K40" s="21"/>
      <c r="L40" s="21"/>
      <c r="M40" s="21"/>
      <c r="N40" s="21"/>
      <c r="O40" s="40"/>
      <c r="P40" s="40"/>
      <c r="Q40" s="40"/>
      <c r="R40" s="40"/>
    </row>
    <row r="41" spans="1:18" ht="19.5" customHeight="1">
      <c r="A41" s="920">
        <v>7</v>
      </c>
      <c r="B41" s="921">
        <f>IF(F41="","",$B$29)</f>
      </c>
      <c r="C41" s="921">
        <f>IF(F41="","",$C$29)</f>
      </c>
      <c r="D41" s="921">
        <f>IF(F41="","",$D$29)</f>
      </c>
      <c r="E41" s="921"/>
      <c r="F41" s="921">
        <f>IF(Input!C85="","",Input!C85)</f>
      </c>
      <c r="G41" s="922">
        <f>IF(F41="","",$G$29)</f>
      </c>
      <c r="H41" s="924"/>
      <c r="I41" s="22"/>
      <c r="J41" s="21"/>
      <c r="K41" s="21"/>
      <c r="L41" s="21"/>
      <c r="M41" s="21"/>
      <c r="N41" s="21"/>
      <c r="O41" s="40"/>
      <c r="P41" s="40"/>
      <c r="Q41" s="40"/>
      <c r="R41" s="40"/>
    </row>
    <row r="42" spans="1:18" ht="19.5" customHeight="1">
      <c r="A42" s="920"/>
      <c r="B42" s="921"/>
      <c r="C42" s="921">
        <f>IF(F41="","","VIS")</f>
      </c>
      <c r="D42" s="354"/>
      <c r="E42" s="354"/>
      <c r="F42" s="354"/>
      <c r="G42" s="922">
        <f>IF(F41="","",Input!B85)</f>
      </c>
      <c r="H42" s="924">
        <f>IF(F41="","",$E$22)</f>
      </c>
      <c r="I42" s="22"/>
      <c r="J42" s="21"/>
      <c r="K42" s="21"/>
      <c r="L42" s="21"/>
      <c r="M42" s="21"/>
      <c r="N42" s="21"/>
      <c r="O42" s="40"/>
      <c r="P42" s="40"/>
      <c r="Q42" s="40"/>
      <c r="R42" s="40"/>
    </row>
    <row r="43" spans="1:18" ht="19.5" customHeight="1">
      <c r="A43" s="925">
        <v>8</v>
      </c>
      <c r="B43" s="921">
        <f>IF(F43="","",$B$29)</f>
      </c>
      <c r="C43" s="921">
        <f>IF(F43="","",$C$29)</f>
      </c>
      <c r="D43" s="921">
        <f>IF(F43="","",$D$29)</f>
      </c>
      <c r="E43" s="921"/>
      <c r="F43" s="921">
        <f>IF(Input!C86="","",Input!C86)</f>
      </c>
      <c r="G43" s="922">
        <f>IF(F43="","",$G$29)</f>
      </c>
      <c r="H43" s="924"/>
      <c r="I43" s="22"/>
      <c r="J43" s="21"/>
      <c r="K43" s="21"/>
      <c r="L43" s="21"/>
      <c r="M43" s="21"/>
      <c r="N43" s="21"/>
      <c r="O43" s="40"/>
      <c r="P43" s="40"/>
      <c r="Q43" s="40"/>
      <c r="R43" s="40"/>
    </row>
    <row r="44" spans="1:18" ht="19.5" customHeight="1">
      <c r="A44" s="923"/>
      <c r="B44" s="921"/>
      <c r="C44" s="921">
        <f>IF(F43="","","VIS")</f>
      </c>
      <c r="D44" s="354"/>
      <c r="E44" s="354"/>
      <c r="F44" s="354"/>
      <c r="G44" s="922">
        <f>IF(F43="","",Input!B86)</f>
      </c>
      <c r="H44" s="924">
        <f>IF(F43="","",$E$22)</f>
      </c>
      <c r="I44" s="22"/>
      <c r="J44" s="21"/>
      <c r="K44" s="21"/>
      <c r="L44" s="21"/>
      <c r="M44" s="21"/>
      <c r="N44" s="21"/>
      <c r="O44" s="40"/>
      <c r="P44" s="40"/>
      <c r="Q44" s="40"/>
      <c r="R44" s="40"/>
    </row>
    <row r="45" spans="1:18" ht="19.5" customHeight="1">
      <c r="A45" s="22"/>
      <c r="B45" s="22"/>
      <c r="C45" s="22"/>
      <c r="D45" s="22"/>
      <c r="E45" s="22"/>
      <c r="F45" s="22"/>
      <c r="G45" s="22"/>
      <c r="H45" s="22"/>
      <c r="I45" s="22"/>
      <c r="J45" s="21"/>
      <c r="K45" s="21"/>
      <c r="L45" s="21"/>
      <c r="M45" s="21"/>
      <c r="N45" s="21"/>
      <c r="O45" s="40"/>
      <c r="P45" s="40"/>
      <c r="Q45" s="40"/>
      <c r="R45" s="40"/>
    </row>
    <row r="46" spans="1:18" ht="19.5" customHeight="1">
      <c r="A46" s="22"/>
      <c r="B46" s="22"/>
      <c r="C46" s="22"/>
      <c r="D46" s="22"/>
      <c r="E46" s="22"/>
      <c r="F46" s="22"/>
      <c r="G46" s="22"/>
      <c r="H46" s="22"/>
      <c r="I46" s="22"/>
      <c r="J46" s="21"/>
      <c r="K46" s="21"/>
      <c r="L46" s="21"/>
      <c r="M46" s="21"/>
      <c r="N46" s="21"/>
      <c r="O46" s="40"/>
      <c r="P46" s="40"/>
      <c r="Q46" s="40"/>
      <c r="R46" s="40"/>
    </row>
    <row r="47" spans="1:18" ht="19.5" customHeight="1">
      <c r="A47" s="22"/>
      <c r="B47" s="22"/>
      <c r="C47" s="22"/>
      <c r="D47" s="22"/>
      <c r="E47" s="22" t="s">
        <v>577</v>
      </c>
      <c r="F47" s="362"/>
      <c r="G47" s="362"/>
      <c r="H47" s="362"/>
      <c r="I47" s="22"/>
      <c r="J47" s="21"/>
      <c r="K47" s="21"/>
      <c r="L47" s="21"/>
      <c r="M47" s="21"/>
      <c r="N47" s="21"/>
      <c r="O47" s="40"/>
      <c r="P47" s="40"/>
      <c r="Q47" s="40"/>
      <c r="R47" s="40"/>
    </row>
    <row r="48" spans="1:18" ht="19.5" customHeight="1">
      <c r="A48" s="22"/>
      <c r="B48" s="22" t="s">
        <v>657</v>
      </c>
      <c r="C48" s="362"/>
      <c r="D48" s="362"/>
      <c r="E48" s="22"/>
      <c r="F48" s="22"/>
      <c r="G48" s="22"/>
      <c r="H48" s="22"/>
      <c r="I48" s="22"/>
      <c r="J48" s="21"/>
      <c r="K48" s="21"/>
      <c r="L48" s="21"/>
      <c r="M48" s="21"/>
      <c r="N48" s="21"/>
      <c r="O48" s="40"/>
      <c r="P48" s="40"/>
      <c r="Q48" s="40"/>
      <c r="R48" s="40"/>
    </row>
    <row r="49" spans="1:18" ht="19.5" customHeight="1">
      <c r="A49" s="22"/>
      <c r="B49" s="22" t="s">
        <v>658</v>
      </c>
      <c r="C49" s="362"/>
      <c r="D49" s="362"/>
      <c r="E49" s="22"/>
      <c r="F49" s="22"/>
      <c r="G49" s="22"/>
      <c r="H49" s="22"/>
      <c r="I49" s="22"/>
      <c r="J49" s="21"/>
      <c r="K49" s="21"/>
      <c r="L49" s="21"/>
      <c r="M49" s="21"/>
      <c r="N49" s="21"/>
      <c r="O49" s="40"/>
      <c r="P49" s="40"/>
      <c r="Q49" s="40"/>
      <c r="R49" s="40"/>
    </row>
    <row r="50" spans="1:18" ht="19.5" customHeight="1">
      <c r="A50" s="22"/>
      <c r="B50" s="22"/>
      <c r="C50" s="362"/>
      <c r="D50" s="362"/>
      <c r="E50" s="22"/>
      <c r="F50" s="22"/>
      <c r="G50" s="22"/>
      <c r="H50" s="22"/>
      <c r="I50" s="22"/>
      <c r="J50" s="21"/>
      <c r="K50" s="21"/>
      <c r="L50" s="21"/>
      <c r="M50" s="21"/>
      <c r="N50" s="21"/>
      <c r="O50" s="40"/>
      <c r="P50" s="40"/>
      <c r="Q50" s="40"/>
      <c r="R50" s="40"/>
    </row>
    <row r="51" spans="1:18" ht="19.5" customHeight="1">
      <c r="A51" s="22"/>
      <c r="B51" s="22"/>
      <c r="C51" s="362"/>
      <c r="D51" s="362"/>
      <c r="E51" s="22"/>
      <c r="F51" s="22"/>
      <c r="G51" s="22"/>
      <c r="H51" s="22"/>
      <c r="I51" s="22"/>
      <c r="J51" s="21"/>
      <c r="K51" s="21"/>
      <c r="L51" s="21"/>
      <c r="M51" s="21"/>
      <c r="N51" s="21"/>
      <c r="O51" s="40"/>
      <c r="P51" s="40"/>
      <c r="Q51" s="40"/>
      <c r="R51" s="40"/>
    </row>
    <row r="52" spans="1:18" ht="19.5" customHeight="1">
      <c r="A52" s="22"/>
      <c r="B52" s="22"/>
      <c r="C52" s="22"/>
      <c r="D52" s="22"/>
      <c r="E52" s="22"/>
      <c r="F52" s="505" t="s">
        <v>719</v>
      </c>
      <c r="G52" s="926"/>
      <c r="H52" s="926"/>
      <c r="I52" s="22"/>
      <c r="J52" s="21"/>
      <c r="K52" s="21"/>
      <c r="L52" s="21"/>
      <c r="M52" s="21"/>
      <c r="N52" s="21"/>
      <c r="O52" s="40"/>
      <c r="P52" s="40"/>
      <c r="Q52" s="40"/>
      <c r="R52" s="40"/>
    </row>
    <row r="53" spans="1:18" ht="19.5" customHeight="1">
      <c r="A53" s="22"/>
      <c r="B53" s="912" t="s">
        <v>581</v>
      </c>
      <c r="C53" s="913"/>
      <c r="D53" s="914"/>
      <c r="E53" s="22"/>
      <c r="F53" s="505" t="s">
        <v>720</v>
      </c>
      <c r="G53" s="1046">
        <f>IF(Input!E14="","",Input!E14)</f>
      </c>
      <c r="H53" s="1046"/>
      <c r="I53" s="22"/>
      <c r="J53" s="21"/>
      <c r="K53" s="21"/>
      <c r="L53" s="21"/>
      <c r="M53" s="21"/>
      <c r="N53" s="21"/>
      <c r="O53" s="40"/>
      <c r="P53" s="40"/>
      <c r="Q53" s="40"/>
      <c r="R53" s="40"/>
    </row>
    <row r="54" spans="1:18" ht="19.5" customHeight="1">
      <c r="A54" s="22"/>
      <c r="B54" s="22" t="s">
        <v>659</v>
      </c>
      <c r="C54" s="22"/>
      <c r="D54" s="22"/>
      <c r="E54" s="22"/>
      <c r="F54" s="22"/>
      <c r="G54" s="22"/>
      <c r="H54" s="22"/>
      <c r="I54" s="22"/>
      <c r="J54" s="21"/>
      <c r="K54" s="21"/>
      <c r="L54" s="21"/>
      <c r="M54" s="21"/>
      <c r="N54" s="21"/>
      <c r="O54" s="40"/>
      <c r="P54" s="40"/>
      <c r="Q54" s="40"/>
      <c r="R54" s="40"/>
    </row>
    <row r="55" spans="1:18" ht="19.5" customHeight="1">
      <c r="A55" s="22"/>
      <c r="B55" s="22"/>
      <c r="C55" s="22"/>
      <c r="D55" s="22"/>
      <c r="E55" s="22"/>
      <c r="F55" s="22"/>
      <c r="G55" s="22"/>
      <c r="H55" s="22"/>
      <c r="I55" s="22"/>
      <c r="J55" s="21"/>
      <c r="K55" s="21"/>
      <c r="L55" s="21"/>
      <c r="M55" s="21"/>
      <c r="N55" s="21"/>
      <c r="O55" s="40"/>
      <c r="P55" s="40"/>
      <c r="Q55" s="40"/>
      <c r="R55" s="40"/>
    </row>
    <row r="56" spans="1:18" ht="19.5" customHeight="1">
      <c r="A56" s="493"/>
      <c r="B56" s="22"/>
      <c r="C56" s="22"/>
      <c r="D56" s="22"/>
      <c r="E56" s="22"/>
      <c r="F56" s="505" t="s">
        <v>719</v>
      </c>
      <c r="G56" s="926"/>
      <c r="H56" s="926"/>
      <c r="I56" s="22"/>
      <c r="J56" s="21"/>
      <c r="K56" s="21"/>
      <c r="L56" s="21"/>
      <c r="M56" s="21"/>
      <c r="N56" s="21"/>
      <c r="O56" s="40"/>
      <c r="P56" s="40"/>
      <c r="Q56" s="40"/>
      <c r="R56" s="40"/>
    </row>
    <row r="57" spans="1:18" ht="19.5" customHeight="1">
      <c r="A57" s="22"/>
      <c r="B57" s="22"/>
      <c r="C57" s="22"/>
      <c r="D57" s="22"/>
      <c r="E57" s="22"/>
      <c r="F57" s="505" t="s">
        <v>582</v>
      </c>
      <c r="G57" s="1046">
        <f>IF(Input!$D$17="","",(Input!$E$26&amp;" "&amp;"(District "&amp;Input!$E$19&amp;""&amp;")"))</f>
      </c>
      <c r="H57" s="1047"/>
      <c r="I57" s="22"/>
      <c r="J57" s="21"/>
      <c r="K57" s="21"/>
      <c r="L57" s="21"/>
      <c r="M57" s="21"/>
      <c r="N57" s="21"/>
      <c r="O57" s="40"/>
      <c r="P57" s="40"/>
      <c r="Q57" s="40"/>
      <c r="R57" s="40"/>
    </row>
    <row r="58" spans="1:18" ht="19.5" customHeight="1">
      <c r="A58" s="22" t="s">
        <v>1275</v>
      </c>
      <c r="B58" s="22"/>
      <c r="C58" s="22"/>
      <c r="D58" s="22"/>
      <c r="E58" s="22"/>
      <c r="F58" s="22"/>
      <c r="G58" s="22"/>
      <c r="H58" s="22"/>
      <c r="I58" s="22"/>
      <c r="J58" s="21"/>
      <c r="K58" s="21"/>
      <c r="L58" s="21"/>
      <c r="M58" s="21"/>
      <c r="N58" s="21"/>
      <c r="O58" s="40"/>
      <c r="P58" s="40"/>
      <c r="Q58" s="40"/>
      <c r="R58" s="40"/>
    </row>
    <row r="59" spans="1:18" ht="12.75">
      <c r="A59" s="22"/>
      <c r="B59" s="22"/>
      <c r="C59" s="22"/>
      <c r="D59" s="22"/>
      <c r="E59" s="22"/>
      <c r="F59" s="22"/>
      <c r="G59" s="22"/>
      <c r="H59" s="22"/>
      <c r="I59" s="22"/>
      <c r="J59" s="21"/>
      <c r="K59" s="21"/>
      <c r="L59" s="21"/>
      <c r="M59" s="21"/>
      <c r="N59" s="21"/>
      <c r="O59" s="40"/>
      <c r="P59" s="40"/>
      <c r="Q59" s="40"/>
      <c r="R59" s="40"/>
    </row>
    <row r="60" spans="1:18" ht="12.75">
      <c r="A60" s="22"/>
      <c r="B60" s="22"/>
      <c r="C60" s="22"/>
      <c r="D60" s="22"/>
      <c r="E60" s="22"/>
      <c r="F60" s="22"/>
      <c r="G60" s="22"/>
      <c r="H60" s="22"/>
      <c r="I60" s="22"/>
      <c r="J60" s="21"/>
      <c r="K60" s="21"/>
      <c r="L60" s="21"/>
      <c r="M60" s="21"/>
      <c r="N60" s="21"/>
      <c r="O60" s="40"/>
      <c r="P60" s="40"/>
      <c r="Q60" s="40"/>
      <c r="R60" s="40"/>
    </row>
    <row r="61" spans="1:18" ht="12.75">
      <c r="A61" s="22"/>
      <c r="B61" s="22"/>
      <c r="C61" s="22"/>
      <c r="D61" s="22"/>
      <c r="E61" s="22"/>
      <c r="F61" s="22"/>
      <c r="G61" s="22"/>
      <c r="H61" s="22"/>
      <c r="I61" s="22"/>
      <c r="J61" s="21"/>
      <c r="K61" s="21"/>
      <c r="L61" s="21"/>
      <c r="M61" s="21"/>
      <c r="N61" s="21"/>
      <c r="O61" s="40"/>
      <c r="P61" s="40"/>
      <c r="Q61" s="40"/>
      <c r="R61" s="40"/>
    </row>
    <row r="62" spans="1:18" ht="12.75">
      <c r="A62" s="22"/>
      <c r="B62" s="22"/>
      <c r="C62" s="22"/>
      <c r="D62" s="22"/>
      <c r="E62" s="22"/>
      <c r="F62" s="22"/>
      <c r="G62" s="22"/>
      <c r="H62" s="22"/>
      <c r="I62" s="22"/>
      <c r="J62" s="21"/>
      <c r="K62" s="21"/>
      <c r="L62" s="21"/>
      <c r="M62" s="21"/>
      <c r="N62" s="21"/>
      <c r="O62" s="40"/>
      <c r="P62" s="40"/>
      <c r="Q62" s="40"/>
      <c r="R62" s="40"/>
    </row>
    <row r="63" spans="1:18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40"/>
      <c r="P63" s="40"/>
      <c r="Q63" s="40"/>
      <c r="R63" s="40"/>
    </row>
    <row r="64" spans="1:18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40"/>
      <c r="P64" s="40"/>
      <c r="Q64" s="40"/>
      <c r="R64" s="40"/>
    </row>
    <row r="65" spans="1:18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40"/>
      <c r="P65" s="40"/>
      <c r="Q65" s="40"/>
      <c r="R65" s="40"/>
    </row>
    <row r="66" spans="1:18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40"/>
      <c r="P66" s="40"/>
      <c r="Q66" s="40"/>
      <c r="R66" s="40"/>
    </row>
    <row r="67" spans="1:18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40"/>
      <c r="P67" s="40"/>
      <c r="Q67" s="40"/>
      <c r="R67" s="40"/>
    </row>
    <row r="68" spans="1:18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40"/>
      <c r="P68" s="40"/>
      <c r="Q68" s="40"/>
      <c r="R68" s="40"/>
    </row>
    <row r="69" spans="1:18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40"/>
      <c r="P69" s="40"/>
      <c r="Q69" s="40"/>
      <c r="R69" s="40"/>
    </row>
    <row r="70" spans="1:18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40"/>
      <c r="P70" s="40"/>
      <c r="Q70" s="40"/>
      <c r="R70" s="40"/>
    </row>
    <row r="71" spans="1:18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40"/>
      <c r="P71" s="40"/>
      <c r="Q71" s="40"/>
      <c r="R71" s="40"/>
    </row>
    <row r="72" spans="1:18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40"/>
      <c r="P72" s="40"/>
      <c r="Q72" s="40"/>
      <c r="R72" s="40"/>
    </row>
    <row r="73" spans="1:18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40"/>
      <c r="P73" s="40"/>
      <c r="Q73" s="40"/>
      <c r="R73" s="40"/>
    </row>
    <row r="74" spans="1:18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40"/>
      <c r="P74" s="40"/>
      <c r="Q74" s="40"/>
      <c r="R74" s="40"/>
    </row>
    <row r="75" spans="1:14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</sheetData>
  <sheetProtection sheet="1" objects="1" scenarios="1"/>
  <mergeCells count="4">
    <mergeCell ref="G57:H57"/>
    <mergeCell ref="G53:H53"/>
    <mergeCell ref="B10:H10"/>
    <mergeCell ref="B11:H11"/>
  </mergeCells>
  <dataValidations count="2">
    <dataValidation type="list" allowBlank="1" showInputMessage="1" showErrorMessage="1" sqref="D30 D32 D34 D36 D38 D40 D42 D44">
      <formula1>Input!$B$68:$B$74</formula1>
    </dataValidation>
    <dataValidation type="list" allowBlank="1" showInputMessage="1" showErrorMessage="1" sqref="E30 E32 E34 E36 E38 E40 E42 E44">
      <formula1>Input!$A$79:$A$86</formula1>
    </dataValidation>
  </dataValidations>
  <printOptions/>
  <pageMargins left="0.5" right="0.5" top="0.5" bottom="0.5" header="0" footer="0"/>
  <pageSetup fitToHeight="1" fitToWidth="1" horizontalDpi="600" verticalDpi="600" orientation="portrait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9.7109375" style="0" customWidth="1"/>
    <col min="3" max="3" width="15.7109375" style="0" customWidth="1"/>
    <col min="4" max="4" width="10.7109375" style="0" customWidth="1"/>
    <col min="5" max="5" width="25.7109375" style="0" customWidth="1"/>
    <col min="6" max="7" width="10.7109375" style="0" customWidth="1"/>
    <col min="8" max="8" width="12.7109375" style="0" customWidth="1"/>
    <col min="10" max="10" width="30.7109375" style="0" customWidth="1"/>
  </cols>
  <sheetData>
    <row r="1" spans="1:10" ht="15.75">
      <c r="A1" s="834" t="s">
        <v>586</v>
      </c>
      <c r="B1" s="493"/>
      <c r="C1" s="493"/>
      <c r="D1" s="493"/>
      <c r="E1" s="493"/>
      <c r="F1" s="493"/>
      <c r="G1" s="493"/>
      <c r="H1" s="493"/>
      <c r="I1" s="493"/>
      <c r="J1" s="493"/>
    </row>
    <row r="2" spans="1:10" ht="15.75">
      <c r="A2" s="927" t="s">
        <v>97</v>
      </c>
      <c r="B2" s="493"/>
      <c r="C2" s="493"/>
      <c r="D2" s="493"/>
      <c r="E2" s="493"/>
      <c r="F2" s="493"/>
      <c r="G2" s="493"/>
      <c r="H2" s="493"/>
      <c r="I2" s="493"/>
      <c r="J2" s="493"/>
    </row>
    <row r="3" spans="1:10" ht="12.75">
      <c r="A3" s="485" t="s">
        <v>860</v>
      </c>
      <c r="B3" s="484"/>
      <c r="C3" s="484"/>
      <c r="D3" s="210"/>
      <c r="E3" s="210"/>
      <c r="F3" s="210"/>
      <c r="G3" s="486"/>
      <c r="H3" s="493"/>
      <c r="I3" s="493"/>
      <c r="J3" s="493"/>
    </row>
    <row r="4" spans="1:10" ht="12.75">
      <c r="A4" s="344"/>
      <c r="B4" s="928"/>
      <c r="C4" s="545"/>
      <c r="D4" s="493"/>
      <c r="E4" s="493"/>
      <c r="F4" s="493"/>
      <c r="G4" s="493"/>
      <c r="H4" s="493"/>
      <c r="I4" s="493"/>
      <c r="J4" s="493"/>
    </row>
    <row r="5" spans="1:10" ht="12.75">
      <c r="A5" s="894" t="s">
        <v>862</v>
      </c>
      <c r="B5" s="493"/>
      <c r="C5" s="493"/>
      <c r="D5" s="493"/>
      <c r="E5" s="493"/>
      <c r="F5" s="493"/>
      <c r="G5" s="493"/>
      <c r="H5" s="493"/>
      <c r="I5" s="493"/>
      <c r="J5" s="493"/>
    </row>
    <row r="6" spans="1:10" ht="4.5" customHeight="1">
      <c r="A6" s="929"/>
      <c r="B6" s="929"/>
      <c r="C6" s="929"/>
      <c r="D6" s="929"/>
      <c r="E6" s="929"/>
      <c r="F6" s="929"/>
      <c r="G6" s="929"/>
      <c r="H6" s="929"/>
      <c r="I6" s="929"/>
      <c r="J6" s="929"/>
    </row>
    <row r="7" spans="1:10" ht="12.75" customHeight="1">
      <c r="A7" s="66" t="s">
        <v>586</v>
      </c>
      <c r="B7" s="930"/>
      <c r="C7" s="930"/>
      <c r="D7" s="930"/>
      <c r="E7" s="930"/>
      <c r="F7" s="930"/>
      <c r="G7" s="930"/>
      <c r="H7" s="930"/>
      <c r="I7" s="930"/>
      <c r="J7" s="7" t="s">
        <v>1310</v>
      </c>
    </row>
    <row r="8" spans="1:10" ht="24.75" customHeight="1">
      <c r="A8" s="1054" t="str">
        <f>IF('Singlet E'!A10="","",'Singlet E'!A10)</f>
        <v>Illinois Department of Transportation</v>
      </c>
      <c r="B8" s="1054"/>
      <c r="C8" s="1054"/>
      <c r="D8" s="1054"/>
      <c r="E8" s="1054"/>
      <c r="F8" s="1054"/>
      <c r="G8" s="1054"/>
      <c r="H8" s="1054"/>
      <c r="I8" s="1054"/>
      <c r="J8" s="1054"/>
    </row>
    <row r="9" spans="1:12" s="3" customFormat="1" ht="24.75" customHeight="1">
      <c r="A9" s="1030" t="str">
        <f>IF('Singlet E'!A11="","",'Singlet E'!A11)</f>
        <v>Bureau of Materials &amp; Physical Research</v>
      </c>
      <c r="B9" s="1030"/>
      <c r="C9" s="1030"/>
      <c r="D9" s="1030"/>
      <c r="E9" s="1030"/>
      <c r="F9" s="1030"/>
      <c r="G9" s="1030"/>
      <c r="H9" s="1030"/>
      <c r="I9" s="1030"/>
      <c r="J9" s="1030"/>
      <c r="K9" s="18"/>
      <c r="L9" s="18"/>
    </row>
    <row r="10" spans="1:12" s="3" customFormat="1" ht="24.75" customHeight="1">
      <c r="A10" s="1030" t="s">
        <v>1269</v>
      </c>
      <c r="B10" s="1030"/>
      <c r="C10" s="1030"/>
      <c r="D10" s="1030"/>
      <c r="E10" s="1030"/>
      <c r="F10" s="1030"/>
      <c r="G10" s="1030"/>
      <c r="H10" s="1030"/>
      <c r="I10" s="1030"/>
      <c r="J10" s="1030"/>
      <c r="K10" s="18"/>
      <c r="L10" s="18"/>
    </row>
    <row r="11" spans="1:12" s="3" customFormat="1" ht="24.75" customHeight="1">
      <c r="A11" s="1055" t="s">
        <v>863</v>
      </c>
      <c r="B11" s="1055"/>
      <c r="C11" s="1055"/>
      <c r="D11" s="1055"/>
      <c r="E11" s="1055"/>
      <c r="F11" s="1055"/>
      <c r="G11" s="1055"/>
      <c r="H11" s="1055"/>
      <c r="I11" s="1055"/>
      <c r="J11" s="1055"/>
      <c r="K11" s="18"/>
      <c r="L11" s="18"/>
    </row>
    <row r="12" spans="1:12" s="3" customFormat="1" ht="24.75" customHeight="1">
      <c r="A12" s="801" t="s">
        <v>569</v>
      </c>
      <c r="B12" s="1050">
        <f>IF(Input!E7="","",Input!E7)</f>
      </c>
      <c r="C12" s="1050"/>
      <c r="D12" s="1050"/>
      <c r="E12" s="1051" t="s">
        <v>558</v>
      </c>
      <c r="F12" s="1052"/>
      <c r="G12" s="1053"/>
      <c r="H12" s="931" t="s">
        <v>559</v>
      </c>
      <c r="I12" s="847" t="s">
        <v>560</v>
      </c>
      <c r="J12" s="947"/>
      <c r="K12" s="18"/>
      <c r="L12" s="18"/>
    </row>
    <row r="13" spans="1:12" s="3" customFormat="1" ht="24.75" customHeight="1">
      <c r="A13" s="795" t="s">
        <v>570</v>
      </c>
      <c r="B13" s="1049">
        <f>IF(Input!E11="","",Input!E11)</f>
      </c>
      <c r="C13" s="1049"/>
      <c r="D13" s="1049"/>
      <c r="E13" s="546"/>
      <c r="F13" s="255" t="s">
        <v>561</v>
      </c>
      <c r="G13" s="932">
        <f>IF(Input!C78="","",Input!C78)</f>
      </c>
      <c r="H13" s="810"/>
      <c r="I13" s="66"/>
      <c r="J13" s="948"/>
      <c r="K13" s="18"/>
      <c r="L13" s="18"/>
    </row>
    <row r="14" spans="1:12" s="3" customFormat="1" ht="24.75" customHeight="1">
      <c r="A14" s="795" t="s">
        <v>1039</v>
      </c>
      <c r="B14" s="1049">
        <f>IF(Input!B37="","",Input!B37)</f>
      </c>
      <c r="C14" s="1049"/>
      <c r="D14" s="1049"/>
      <c r="E14" s="939">
        <f>IF(Input!A79="","",Input!A79)</f>
      </c>
      <c r="F14" s="940">
        <f>IF(Input!B79="","",Input!B79)</f>
      </c>
      <c r="G14" s="941">
        <f>IF(Input!C79="","",Input!C79)</f>
      </c>
      <c r="H14" s="945">
        <f>IF(Input!C64="","",Input!C64)</f>
      </c>
      <c r="I14" s="70" t="s">
        <v>562</v>
      </c>
      <c r="J14" s="948">
        <f>IF(Input!B33="","",Input!B33)</f>
      </c>
      <c r="K14" s="18"/>
      <c r="L14" s="18"/>
    </row>
    <row r="15" spans="1:12" s="3" customFormat="1" ht="24.75" customHeight="1">
      <c r="A15" s="795" t="s">
        <v>1029</v>
      </c>
      <c r="B15" s="1049">
        <f>IF(Input!B88="","",Input!B88)</f>
      </c>
      <c r="C15" s="1049"/>
      <c r="D15" s="1049"/>
      <c r="E15" s="939">
        <f>IF(Input!A80="","",Input!A80)</f>
      </c>
      <c r="F15" s="940">
        <f>IF(Input!B80="","",Input!B80)</f>
      </c>
      <c r="G15" s="941">
        <f>IF(Input!C80="","",Input!C80)</f>
      </c>
      <c r="H15" s="945">
        <f>IF(Input!C65="","",Input!C65)</f>
      </c>
      <c r="I15" s="70" t="s">
        <v>563</v>
      </c>
      <c r="J15" s="948">
        <f>IF(Input!B31="","",Input!B31)</f>
      </c>
      <c r="K15" s="18"/>
      <c r="L15" s="18"/>
    </row>
    <row r="16" spans="1:12" s="3" customFormat="1" ht="24.75" customHeight="1">
      <c r="A16" s="795" t="s">
        <v>571</v>
      </c>
      <c r="B16" s="1049">
        <f>IF(Input!B89="","",Input!B89)</f>
      </c>
      <c r="C16" s="1049"/>
      <c r="D16" s="1049"/>
      <c r="E16" s="939">
        <f>IF(Input!A81="","",Input!A81)</f>
      </c>
      <c r="F16" s="940">
        <f>IF(Input!B81="","",Input!B81)</f>
      </c>
      <c r="G16" s="941">
        <f>IF(Input!C81="","",Input!C81)</f>
      </c>
      <c r="H16" s="945">
        <f>IF(Input!C66="","",Input!C66)</f>
      </c>
      <c r="I16" s="70" t="s">
        <v>564</v>
      </c>
      <c r="J16" s="948">
        <f>IF(Input!B30="","",Input!B30)</f>
      </c>
      <c r="K16" s="18"/>
      <c r="L16" s="18"/>
    </row>
    <row r="17" spans="1:12" s="3" customFormat="1" ht="24.75" customHeight="1">
      <c r="A17" s="795" t="s">
        <v>574</v>
      </c>
      <c r="B17" s="1049">
        <f>IF(Input!B7="","",Input!B7&amp;""&amp;Input!B8&amp;" "&amp;Input!B9)</f>
      </c>
      <c r="C17" s="1049"/>
      <c r="D17" s="1049"/>
      <c r="E17" s="939">
        <f>IF(Input!A82="","",Input!A82)</f>
      </c>
      <c r="F17" s="940">
        <f>IF(Input!B82="","",Input!B82)</f>
      </c>
      <c r="G17" s="941">
        <f>IF(Input!C82="","",Input!C82)</f>
      </c>
      <c r="H17" s="945">
        <f>IF(Input!C67="","",Input!C67)</f>
      </c>
      <c r="I17" s="70" t="s">
        <v>565</v>
      </c>
      <c r="J17" s="948">
        <f>IF(Input!B35="","",Input!B35)</f>
      </c>
      <c r="K17" s="18"/>
      <c r="L17" s="18"/>
    </row>
    <row r="18" spans="1:12" s="3" customFormat="1" ht="24.75" customHeight="1">
      <c r="A18" s="795" t="s">
        <v>1015</v>
      </c>
      <c r="B18" s="1049">
        <f>IF(Input!B12="","",Input!B12)</f>
      </c>
      <c r="C18" s="1049"/>
      <c r="D18" s="1049"/>
      <c r="E18" s="939">
        <f>IF(Input!A83="","",Input!A83)</f>
      </c>
      <c r="F18" s="940">
        <f>IF(Input!B83="","",Input!B83)</f>
      </c>
      <c r="G18" s="941">
        <f>IF(Input!C83="","",Input!C83)</f>
      </c>
      <c r="H18" s="945">
        <f>IF(Input!E64="","",Input!E64)</f>
      </c>
      <c r="I18" s="70" t="s">
        <v>1001</v>
      </c>
      <c r="J18" s="948">
        <f>IF(Input!B32="","",Input!B32)</f>
      </c>
      <c r="K18" s="18"/>
      <c r="L18" s="18"/>
    </row>
    <row r="19" spans="1:12" s="3" customFormat="1" ht="24.75" customHeight="1">
      <c r="A19" s="795" t="s">
        <v>572</v>
      </c>
      <c r="B19" s="1049">
        <f>IF(Input!B13="","",Input!B13)</f>
      </c>
      <c r="C19" s="1049"/>
      <c r="D19" s="1049"/>
      <c r="E19" s="939">
        <f>IF(Input!A84="","",Input!A84)</f>
      </c>
      <c r="F19" s="940">
        <f>IF(Input!B84="","",Input!B84)</f>
      </c>
      <c r="G19" s="941">
        <f>IF(Input!C84="","",Input!C84)</f>
      </c>
      <c r="H19" s="945">
        <f>IF(Input!E65="","",Input!E65)</f>
      </c>
      <c r="I19" s="70" t="s">
        <v>566</v>
      </c>
      <c r="J19" s="948">
        <f>IF(Input!B36="","",Input!B36)</f>
      </c>
      <c r="K19" s="18"/>
      <c r="L19" s="18"/>
    </row>
    <row r="20" spans="1:12" s="3" customFormat="1" ht="24.75" customHeight="1">
      <c r="A20" s="795"/>
      <c r="B20" s="1056"/>
      <c r="C20" s="1056"/>
      <c r="D20" s="1056"/>
      <c r="E20" s="939">
        <f>IF(Input!A85="","",Input!A85)</f>
      </c>
      <c r="F20" s="940">
        <f>IF(Input!B85="","",Input!B85)</f>
      </c>
      <c r="G20" s="941">
        <f>IF(Input!C85="","",Input!C85)</f>
      </c>
      <c r="H20" s="945">
        <f>IF(Input!E66="","",Input!E66)</f>
      </c>
      <c r="I20" s="70" t="s">
        <v>567</v>
      </c>
      <c r="J20" s="948">
        <f>IF(Input!B34="","",Input!B34)</f>
      </c>
      <c r="K20" s="18"/>
      <c r="L20" s="18"/>
    </row>
    <row r="21" spans="1:12" s="3" customFormat="1" ht="24.75" customHeight="1">
      <c r="A21" s="933" t="s">
        <v>573</v>
      </c>
      <c r="B21" s="934"/>
      <c r="C21" s="1057">
        <f>IF('Box Tol'!C71="","",'Box Tol'!C71)</f>
      </c>
      <c r="D21" s="1058"/>
      <c r="E21" s="942">
        <f>IF(Input!A86="","",Input!A86)</f>
      </c>
      <c r="F21" s="943">
        <f>IF(Input!B86="","",Input!B86)</f>
      </c>
      <c r="G21" s="944">
        <f>IF(Input!C86="","",Input!C86)</f>
      </c>
      <c r="H21" s="946">
        <f>IF(Input!E67="","",Input!E67)</f>
      </c>
      <c r="I21" s="762"/>
      <c r="J21" s="935"/>
      <c r="K21" s="21"/>
      <c r="L21" s="18"/>
    </row>
    <row r="22" spans="1:12" s="3" customFormat="1" ht="24.75" customHeight="1">
      <c r="A22" s="936" t="s">
        <v>568</v>
      </c>
      <c r="B22" s="20">
        <f>IF(Input!B10="","",Input!B10)</f>
      </c>
      <c r="C22" s="20">
        <f>IF(B22="","",Input!E5)</f>
      </c>
      <c r="D22" s="20"/>
      <c r="E22" s="747" t="s">
        <v>1028</v>
      </c>
      <c r="F22" s="367">
        <f>SUM(F14:F21)</f>
        <v>0</v>
      </c>
      <c r="G22" s="367">
        <f>SUM(G14:G21)</f>
        <v>0</v>
      </c>
      <c r="H22" s="66" t="s">
        <v>138</v>
      </c>
      <c r="I22" s="66"/>
      <c r="J22" s="66"/>
      <c r="K22" s="21"/>
      <c r="L22" s="18"/>
    </row>
    <row r="23" spans="1:12" s="3" customFormat="1" ht="24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21"/>
      <c r="L23" s="18"/>
    </row>
    <row r="24" spans="1:12" s="3" customFormat="1" ht="24.75" customHeight="1">
      <c r="A24" s="66"/>
      <c r="B24" s="66"/>
      <c r="C24" s="66"/>
      <c r="D24" s="66"/>
      <c r="E24" s="80" t="s">
        <v>718</v>
      </c>
      <c r="F24" s="66"/>
      <c r="G24" s="66"/>
      <c r="H24" s="66"/>
      <c r="I24" s="66"/>
      <c r="J24" s="66"/>
      <c r="K24" s="18"/>
      <c r="L24" s="18"/>
    </row>
    <row r="25" spans="1:12" s="3" customFormat="1" ht="24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18"/>
      <c r="L25" s="18"/>
    </row>
    <row r="26" spans="1:12" s="3" customFormat="1" ht="24.75" customHeight="1">
      <c r="A26" s="66"/>
      <c r="B26" s="66" t="s">
        <v>786</v>
      </c>
      <c r="C26" s="66"/>
      <c r="D26" s="66"/>
      <c r="E26" s="66"/>
      <c r="F26" s="66"/>
      <c r="G26" s="66"/>
      <c r="H26" s="66"/>
      <c r="I26" s="66"/>
      <c r="J26" s="66"/>
      <c r="K26" s="18"/>
      <c r="L26" s="18"/>
    </row>
    <row r="27" spans="1:12" s="3" customFormat="1" ht="24.7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18"/>
      <c r="L27" s="18"/>
    </row>
    <row r="28" spans="1:12" s="3" customFormat="1" ht="24.7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18"/>
      <c r="L28" s="18"/>
    </row>
    <row r="29" spans="1:12" s="3" customFormat="1" ht="24.75" customHeight="1">
      <c r="A29" s="937">
        <f>IF(A31="MAIN01","NOTE: Enter file names for each Daily Bed Pour.","")</f>
      </c>
      <c r="B29" s="66"/>
      <c r="C29" s="66"/>
      <c r="D29" s="66"/>
      <c r="E29" s="66"/>
      <c r="F29" s="66"/>
      <c r="G29" s="66"/>
      <c r="H29" s="66"/>
      <c r="I29" s="66"/>
      <c r="J29" s="66"/>
      <c r="K29" s="18"/>
      <c r="L29" s="18"/>
    </row>
    <row r="30" spans="1:12" s="3" customFormat="1" ht="24.75" customHeight="1">
      <c r="A30" s="66" t="s">
        <v>575</v>
      </c>
      <c r="B30" s="66"/>
      <c r="C30" s="66"/>
      <c r="D30" s="66"/>
      <c r="E30" s="66"/>
      <c r="F30" s="66" t="s">
        <v>576</v>
      </c>
      <c r="G30" s="66"/>
      <c r="H30" s="66"/>
      <c r="I30" s="66"/>
      <c r="J30" s="66"/>
      <c r="K30" s="18"/>
      <c r="L30" s="18"/>
    </row>
    <row r="31" spans="1:12" s="3" customFormat="1" ht="24.75" customHeight="1">
      <c r="A31" s="67"/>
      <c r="B31" s="67"/>
      <c r="C31" s="67"/>
      <c r="D31" s="67"/>
      <c r="E31" s="66"/>
      <c r="F31" s="67"/>
      <c r="G31" s="67"/>
      <c r="H31" s="67"/>
      <c r="I31" s="67"/>
      <c r="J31" s="66"/>
      <c r="K31" s="18"/>
      <c r="L31" s="18"/>
    </row>
    <row r="32" spans="1:12" s="3" customFormat="1" ht="24.75" customHeight="1">
      <c r="A32" s="67"/>
      <c r="B32" s="67"/>
      <c r="C32" s="67"/>
      <c r="D32" s="67"/>
      <c r="E32" s="66"/>
      <c r="F32" s="67"/>
      <c r="G32" s="67"/>
      <c r="H32" s="67"/>
      <c r="I32" s="67"/>
      <c r="J32" s="66"/>
      <c r="K32" s="18"/>
      <c r="L32" s="18"/>
    </row>
    <row r="33" spans="1:12" s="3" customFormat="1" ht="24.75" customHeight="1">
      <c r="A33" s="67"/>
      <c r="B33" s="67"/>
      <c r="C33" s="67"/>
      <c r="D33" s="67"/>
      <c r="E33" s="66"/>
      <c r="F33" s="67"/>
      <c r="G33" s="67"/>
      <c r="H33" s="67"/>
      <c r="I33" s="67"/>
      <c r="J33" s="66"/>
      <c r="K33" s="18"/>
      <c r="L33" s="18"/>
    </row>
    <row r="34" spans="1:12" s="3" customFormat="1" ht="24.75" customHeight="1">
      <c r="A34" s="67"/>
      <c r="B34" s="67"/>
      <c r="C34" s="67"/>
      <c r="D34" s="67"/>
      <c r="E34" s="66"/>
      <c r="F34" s="67"/>
      <c r="G34" s="67"/>
      <c r="H34" s="67"/>
      <c r="I34" s="67"/>
      <c r="J34" s="66"/>
      <c r="K34" s="18"/>
      <c r="L34" s="18"/>
    </row>
    <row r="35" spans="1:12" s="3" customFormat="1" ht="24.75" customHeight="1">
      <c r="A35" s="67"/>
      <c r="B35" s="67"/>
      <c r="C35" s="67"/>
      <c r="D35" s="67"/>
      <c r="E35" s="66"/>
      <c r="F35" s="67"/>
      <c r="G35" s="67"/>
      <c r="H35" s="67"/>
      <c r="I35" s="67"/>
      <c r="J35" s="66"/>
      <c r="K35" s="18"/>
      <c r="L35" s="18"/>
    </row>
    <row r="36" spans="1:12" s="3" customFormat="1" ht="24.75" customHeight="1">
      <c r="A36" s="67"/>
      <c r="B36" s="67"/>
      <c r="C36" s="67"/>
      <c r="D36" s="67"/>
      <c r="E36" s="66"/>
      <c r="F36" s="67"/>
      <c r="G36" s="67"/>
      <c r="H36" s="67"/>
      <c r="I36" s="67"/>
      <c r="J36" s="66"/>
      <c r="K36" s="18"/>
      <c r="L36" s="18"/>
    </row>
    <row r="37" spans="1:12" s="3" customFormat="1" ht="24.75" customHeight="1">
      <c r="A37" s="67"/>
      <c r="B37" s="67"/>
      <c r="C37" s="67"/>
      <c r="D37" s="67"/>
      <c r="E37" s="66"/>
      <c r="F37" s="67"/>
      <c r="G37" s="67"/>
      <c r="H37" s="67"/>
      <c r="I37" s="67"/>
      <c r="J37" s="66"/>
      <c r="K37" s="18"/>
      <c r="L37" s="18"/>
    </row>
    <row r="38" spans="1:12" s="3" customFormat="1" ht="24.75" customHeight="1">
      <c r="A38" s="67"/>
      <c r="B38" s="67"/>
      <c r="C38" s="67"/>
      <c r="D38" s="67"/>
      <c r="E38" s="66"/>
      <c r="F38" s="67"/>
      <c r="G38" s="67"/>
      <c r="H38" s="67"/>
      <c r="I38" s="67"/>
      <c r="J38" s="66"/>
      <c r="K38" s="18"/>
      <c r="L38" s="18"/>
    </row>
    <row r="39" spans="1:12" s="3" customFormat="1" ht="24.75" customHeight="1">
      <c r="A39" s="67"/>
      <c r="B39" s="67"/>
      <c r="C39" s="67"/>
      <c r="D39" s="67"/>
      <c r="E39" s="66"/>
      <c r="F39" s="67"/>
      <c r="G39" s="67"/>
      <c r="H39" s="67"/>
      <c r="I39" s="67"/>
      <c r="J39" s="66"/>
      <c r="K39" s="18"/>
      <c r="L39" s="18"/>
    </row>
    <row r="40" spans="1:12" s="3" customFormat="1" ht="24.75" customHeight="1">
      <c r="A40" s="938" t="s">
        <v>577</v>
      </c>
      <c r="B40" s="355"/>
      <c r="C40" s="355"/>
      <c r="D40" s="355"/>
      <c r="E40" s="355"/>
      <c r="F40" s="355"/>
      <c r="G40" s="355"/>
      <c r="H40" s="355"/>
      <c r="I40" s="355"/>
      <c r="J40" s="355"/>
      <c r="K40" s="18"/>
      <c r="L40" s="18"/>
    </row>
    <row r="41" spans="1:12" s="3" customFormat="1" ht="24.75" customHeight="1">
      <c r="A41" s="355"/>
      <c r="B41" s="355" t="s">
        <v>138</v>
      </c>
      <c r="C41" s="355"/>
      <c r="D41" s="355"/>
      <c r="E41" s="355"/>
      <c r="F41" s="355"/>
      <c r="G41" s="355"/>
      <c r="H41" s="355"/>
      <c r="I41" s="355"/>
      <c r="J41" s="355"/>
      <c r="K41" s="18"/>
      <c r="L41" s="18"/>
    </row>
    <row r="42" spans="1:12" s="3" customFormat="1" ht="24.75" customHeight="1">
      <c r="A42" s="355"/>
      <c r="B42" s="355" t="s">
        <v>138</v>
      </c>
      <c r="C42" s="355"/>
      <c r="D42" s="355" t="s">
        <v>138</v>
      </c>
      <c r="E42" s="355"/>
      <c r="F42" s="355"/>
      <c r="G42" s="355"/>
      <c r="H42" s="355"/>
      <c r="I42" s="355"/>
      <c r="J42" s="355"/>
      <c r="K42" s="18"/>
      <c r="L42" s="18"/>
    </row>
    <row r="43" spans="1:12" s="3" customFormat="1" ht="24.75" customHeight="1">
      <c r="A43" s="66"/>
      <c r="B43" s="66" t="s">
        <v>138</v>
      </c>
      <c r="C43" s="66"/>
      <c r="D43" s="66"/>
      <c r="E43" s="66"/>
      <c r="F43" s="66"/>
      <c r="G43" s="66"/>
      <c r="H43" s="66"/>
      <c r="I43" s="66"/>
      <c r="J43" s="66"/>
      <c r="K43" s="18"/>
      <c r="L43" s="18"/>
    </row>
    <row r="44" spans="1:12" s="3" customFormat="1" ht="24.75" customHeight="1">
      <c r="A44" s="66" t="s">
        <v>578</v>
      </c>
      <c r="B44" s="66"/>
      <c r="C44" s="66"/>
      <c r="D44" s="66"/>
      <c r="E44" s="66"/>
      <c r="F44" s="66"/>
      <c r="G44" s="66"/>
      <c r="H44" s="66"/>
      <c r="I44" s="66"/>
      <c r="J44" s="66"/>
      <c r="K44" s="18"/>
      <c r="L44" s="18"/>
    </row>
    <row r="45" spans="1:12" s="3" customFormat="1" ht="24.75" customHeight="1">
      <c r="A45" s="66" t="s">
        <v>579</v>
      </c>
      <c r="B45" s="66"/>
      <c r="C45" s="66"/>
      <c r="D45" s="66"/>
      <c r="E45" s="66"/>
      <c r="F45" s="66"/>
      <c r="G45" s="66"/>
      <c r="H45" s="66"/>
      <c r="I45" s="66"/>
      <c r="J45" s="66"/>
      <c r="K45" s="18"/>
      <c r="L45" s="18"/>
    </row>
    <row r="46" spans="1:12" s="3" customFormat="1" ht="24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18"/>
      <c r="L46" s="18"/>
    </row>
    <row r="47" spans="1:12" s="3" customFormat="1" ht="24.75" customHeight="1">
      <c r="A47" s="66"/>
      <c r="B47" s="66"/>
      <c r="C47" s="66"/>
      <c r="D47" s="66"/>
      <c r="E47" s="66"/>
      <c r="F47" s="747" t="s">
        <v>719</v>
      </c>
      <c r="G47" s="949"/>
      <c r="H47" s="949"/>
      <c r="I47" s="949"/>
      <c r="J47" s="66"/>
      <c r="K47" s="18"/>
      <c r="L47" s="18"/>
    </row>
    <row r="48" spans="1:12" s="3" customFormat="1" ht="24.75" customHeight="1">
      <c r="A48" s="66"/>
      <c r="B48" s="66"/>
      <c r="C48" s="66"/>
      <c r="D48" s="66"/>
      <c r="E48" s="66"/>
      <c r="F48" s="938" t="s">
        <v>720</v>
      </c>
      <c r="G48" s="66"/>
      <c r="H48" s="66">
        <f>IF(Input!E14="","",Input!E14)</f>
      </c>
      <c r="I48" s="66"/>
      <c r="J48" s="66"/>
      <c r="K48" s="18"/>
      <c r="L48" s="18"/>
    </row>
    <row r="49" spans="1:12" s="3" customFormat="1" ht="24.75" customHeight="1">
      <c r="A49" s="66" t="s">
        <v>580</v>
      </c>
      <c r="B49" s="830"/>
      <c r="C49" s="830"/>
      <c r="D49" s="66"/>
      <c r="E49" s="66"/>
      <c r="F49" s="66"/>
      <c r="G49" s="66"/>
      <c r="H49" s="66"/>
      <c r="I49" s="66"/>
      <c r="J49" s="66"/>
      <c r="K49" s="18"/>
      <c r="L49" s="18"/>
    </row>
    <row r="50" spans="1:12" s="3" customFormat="1" ht="24.75" customHeight="1">
      <c r="A50" s="66"/>
      <c r="B50" s="830"/>
      <c r="C50" s="830"/>
      <c r="D50" s="66"/>
      <c r="E50" s="66"/>
      <c r="F50" s="66"/>
      <c r="G50" s="66"/>
      <c r="H50" s="66"/>
      <c r="I50" s="66"/>
      <c r="J50" s="66"/>
      <c r="K50" s="18"/>
      <c r="L50" s="18"/>
    </row>
    <row r="51" spans="1:12" s="3" customFormat="1" ht="24.75" customHeight="1">
      <c r="A51" s="66"/>
      <c r="B51" s="830"/>
      <c r="C51" s="830"/>
      <c r="D51" s="503"/>
      <c r="E51" s="748" t="s">
        <v>581</v>
      </c>
      <c r="F51" s="749"/>
      <c r="G51" s="749"/>
      <c r="H51" s="750"/>
      <c r="I51" s="66"/>
      <c r="J51" s="66"/>
      <c r="K51" s="18"/>
      <c r="L51" s="18"/>
    </row>
    <row r="52" spans="1:12" s="3" customFormat="1" ht="24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18"/>
      <c r="L52" s="18"/>
    </row>
    <row r="53" spans="1:12" s="3" customFormat="1" ht="24.75" customHeight="1">
      <c r="A53" s="503"/>
      <c r="B53" s="66"/>
      <c r="C53" s="66"/>
      <c r="D53" s="66"/>
      <c r="E53" s="66"/>
      <c r="F53" s="747" t="s">
        <v>719</v>
      </c>
      <c r="G53" s="949"/>
      <c r="H53" s="949"/>
      <c r="I53" s="949"/>
      <c r="J53" s="66"/>
      <c r="K53" s="18"/>
      <c r="L53" s="18"/>
    </row>
    <row r="54" spans="1:12" s="3" customFormat="1" ht="24.75" customHeight="1">
      <c r="A54" s="66"/>
      <c r="B54" s="66"/>
      <c r="C54" s="66"/>
      <c r="D54" s="66"/>
      <c r="E54" s="66"/>
      <c r="F54" s="938" t="s">
        <v>582</v>
      </c>
      <c r="G54" s="66"/>
      <c r="H54" s="1046">
        <f>IF(Input!$D$17="","",(Input!$E$26&amp;" "&amp;"(District "&amp;Input!$E$19&amp;""&amp;")"))</f>
      </c>
      <c r="I54" s="1047"/>
      <c r="J54" s="66"/>
      <c r="K54" s="18"/>
      <c r="L54" s="18"/>
    </row>
    <row r="55" spans="1:12" s="3" customFormat="1" ht="11.25">
      <c r="A55" s="21" t="s">
        <v>1276</v>
      </c>
      <c r="B55" s="21"/>
      <c r="C55" s="21"/>
      <c r="D55" s="21"/>
      <c r="E55" s="21"/>
      <c r="F55" s="21"/>
      <c r="G55" s="21"/>
      <c r="H55" s="21"/>
      <c r="I55" s="21"/>
      <c r="J55" s="21"/>
      <c r="K55" s="18"/>
      <c r="L55" s="18"/>
    </row>
    <row r="56" spans="1:12" s="3" customFormat="1" ht="11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18"/>
      <c r="L56" s="18"/>
    </row>
    <row r="57" spans="1:12" s="3" customFormat="1" ht="11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18"/>
      <c r="L57" s="18"/>
    </row>
    <row r="58" spans="1:12" s="3" customFormat="1" ht="11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18"/>
      <c r="L58" s="18"/>
    </row>
    <row r="59" spans="1:12" s="3" customFormat="1" ht="11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18"/>
      <c r="L59" s="18"/>
    </row>
    <row r="60" spans="1:12" s="3" customFormat="1" ht="11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18"/>
      <c r="L60" s="18"/>
    </row>
    <row r="61" spans="1:12" s="3" customFormat="1" ht="11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18"/>
      <c r="L61" s="18"/>
    </row>
    <row r="62" spans="1:12" s="3" customFormat="1" ht="11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18"/>
      <c r="L62" s="18"/>
    </row>
    <row r="63" spans="1:12" s="3" customFormat="1" ht="11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18"/>
      <c r="L63" s="18"/>
    </row>
    <row r="64" spans="1:12" s="3" customFormat="1" ht="11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18"/>
      <c r="L64" s="18"/>
    </row>
    <row r="65" spans="1:12" s="3" customFormat="1" ht="11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18"/>
      <c r="L65" s="18"/>
    </row>
    <row r="66" spans="1:12" s="3" customFormat="1" ht="11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18"/>
      <c r="L66" s="18"/>
    </row>
    <row r="67" spans="1:12" s="3" customFormat="1" ht="11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18"/>
      <c r="L67" s="18"/>
    </row>
    <row r="68" spans="1:12" s="3" customFormat="1" ht="11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18"/>
      <c r="L68" s="18"/>
    </row>
    <row r="69" spans="1:12" s="3" customFormat="1" ht="11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18"/>
      <c r="L69" s="18"/>
    </row>
    <row r="70" spans="1:12" s="3" customFormat="1" ht="11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18"/>
      <c r="L70" s="18"/>
    </row>
    <row r="71" spans="1:12" s="3" customFormat="1" ht="11.25">
      <c r="A71" s="35"/>
      <c r="B71" s="24"/>
      <c r="C71" s="24"/>
      <c r="D71" s="24"/>
      <c r="E71" s="35"/>
      <c r="F71" s="24"/>
      <c r="G71" s="24"/>
      <c r="H71" s="24"/>
      <c r="I71" s="24"/>
      <c r="J71" s="24"/>
      <c r="K71" s="18"/>
      <c r="L71" s="18"/>
    </row>
    <row r="72" spans="1:12" s="3" customFormat="1" ht="11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18"/>
      <c r="L72" s="18"/>
    </row>
    <row r="73" spans="1:12" s="3" customFormat="1" ht="11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18"/>
      <c r="L73" s="18"/>
    </row>
    <row r="74" spans="1:12" s="3" customFormat="1" ht="11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18"/>
      <c r="L74" s="18"/>
    </row>
    <row r="75" spans="1:12" s="3" customFormat="1" ht="11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18"/>
      <c r="L75" s="18"/>
    </row>
    <row r="76" spans="1:12" s="3" customFormat="1" ht="11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18"/>
      <c r="L76" s="18"/>
    </row>
    <row r="77" spans="1:12" s="3" customFormat="1" ht="11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18"/>
      <c r="L77" s="18"/>
    </row>
    <row r="78" spans="1:12" s="3" customFormat="1" ht="11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18"/>
      <c r="L78" s="18"/>
    </row>
    <row r="79" spans="1:12" s="3" customFormat="1" ht="11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18"/>
      <c r="L79" s="18"/>
    </row>
    <row r="80" spans="1:12" s="3" customFormat="1" ht="11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18"/>
      <c r="L80" s="18"/>
    </row>
    <row r="81" spans="1:12" s="3" customFormat="1" ht="11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18"/>
      <c r="L81" s="18"/>
    </row>
    <row r="82" spans="1:12" s="3" customFormat="1" ht="11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18"/>
      <c r="L82" s="18"/>
    </row>
    <row r="83" spans="1:12" s="3" customFormat="1" ht="11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18"/>
      <c r="L83" s="18"/>
    </row>
    <row r="84" spans="1:12" s="3" customFormat="1" ht="11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18"/>
      <c r="L84" s="18"/>
    </row>
    <row r="85" spans="1:12" s="3" customFormat="1" ht="11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18"/>
      <c r="L85" s="18"/>
    </row>
    <row r="86" spans="11:12" s="3" customFormat="1" ht="11.25">
      <c r="K86" s="18"/>
      <c r="L86" s="18"/>
    </row>
    <row r="87" spans="11:12" s="3" customFormat="1" ht="11.25">
      <c r="K87" s="18"/>
      <c r="L87" s="18"/>
    </row>
    <row r="88" spans="11:12" s="3" customFormat="1" ht="11.25">
      <c r="K88" s="18"/>
      <c r="L88" s="18"/>
    </row>
    <row r="89" spans="11:12" s="3" customFormat="1" ht="11.25">
      <c r="K89" s="18"/>
      <c r="L89" s="18"/>
    </row>
    <row r="90" spans="11:12" s="3" customFormat="1" ht="11.25">
      <c r="K90" s="18"/>
      <c r="L90" s="18"/>
    </row>
    <row r="91" spans="11:12" s="3" customFormat="1" ht="11.25">
      <c r="K91" s="18"/>
      <c r="L91" s="18"/>
    </row>
    <row r="92" spans="11:12" s="3" customFormat="1" ht="11.25">
      <c r="K92" s="18"/>
      <c r="L92" s="18"/>
    </row>
    <row r="93" spans="11:12" s="3" customFormat="1" ht="11.25">
      <c r="K93" s="18"/>
      <c r="L93" s="18"/>
    </row>
    <row r="94" spans="11:12" s="3" customFormat="1" ht="11.25">
      <c r="K94" s="18"/>
      <c r="L94" s="18"/>
    </row>
    <row r="95" spans="11:12" s="3" customFormat="1" ht="11.25">
      <c r="K95" s="18"/>
      <c r="L95" s="18"/>
    </row>
    <row r="96" spans="11:12" s="3" customFormat="1" ht="11.25">
      <c r="K96" s="18"/>
      <c r="L96" s="18"/>
    </row>
    <row r="97" spans="11:12" s="3" customFormat="1" ht="11.25">
      <c r="K97" s="18"/>
      <c r="L97" s="18"/>
    </row>
    <row r="98" spans="11:12" s="3" customFormat="1" ht="11.25">
      <c r="K98" s="18"/>
      <c r="L98" s="18"/>
    </row>
    <row r="99" spans="1:14" s="3" customFormat="1" ht="11.2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31"/>
      <c r="L99" s="31"/>
      <c r="M99" s="59"/>
      <c r="N99" s="59"/>
    </row>
    <row r="100" spans="1:14" s="3" customFormat="1" ht="12.75">
      <c r="A100" s="59"/>
      <c r="B100" s="59"/>
      <c r="C100" s="59"/>
      <c r="D100" s="356"/>
      <c r="E100" s="59"/>
      <c r="F100" s="59"/>
      <c r="G100" s="356"/>
      <c r="H100" s="59"/>
      <c r="I100" s="59"/>
      <c r="J100" s="357"/>
      <c r="K100" s="31"/>
      <c r="L100" s="31"/>
      <c r="M100" s="59"/>
      <c r="N100" s="59"/>
    </row>
    <row r="101" spans="1:14" s="3" customFormat="1" ht="12.75">
      <c r="A101" s="59"/>
      <c r="B101" s="59"/>
      <c r="C101" s="59"/>
      <c r="D101" s="356"/>
      <c r="E101" s="59"/>
      <c r="F101" s="59"/>
      <c r="G101" s="356"/>
      <c r="H101" s="59"/>
      <c r="I101" s="59"/>
      <c r="J101" s="357"/>
      <c r="K101" s="31"/>
      <c r="L101" s="31"/>
      <c r="M101" s="59"/>
      <c r="N101" s="59"/>
    </row>
    <row r="102" spans="1:14" s="3" customFormat="1" ht="12.75">
      <c r="A102" s="59"/>
      <c r="B102" s="59"/>
      <c r="C102" s="59"/>
      <c r="D102" s="356"/>
      <c r="E102" s="59"/>
      <c r="F102" s="59"/>
      <c r="G102" s="356"/>
      <c r="H102" s="59"/>
      <c r="I102" s="59"/>
      <c r="J102" s="357"/>
      <c r="K102" s="31"/>
      <c r="L102" s="31"/>
      <c r="M102" s="59"/>
      <c r="N102" s="59"/>
    </row>
    <row r="103" spans="1:14" s="3" customFormat="1" ht="12.75">
      <c r="A103" s="59"/>
      <c r="B103" s="357"/>
      <c r="C103" s="59"/>
      <c r="D103" s="356"/>
      <c r="E103" s="59"/>
      <c r="F103" s="59"/>
      <c r="G103" s="356"/>
      <c r="H103" s="59"/>
      <c r="I103" s="59"/>
      <c r="J103" s="357"/>
      <c r="K103" s="59"/>
      <c r="L103" s="59"/>
      <c r="M103" s="59"/>
      <c r="N103" s="59"/>
    </row>
    <row r="104" spans="1:14" s="3" customFormat="1" ht="12.75">
      <c r="A104" s="59"/>
      <c r="B104" s="357"/>
      <c r="C104" s="59"/>
      <c r="D104" s="356"/>
      <c r="E104" s="59"/>
      <c r="F104" s="59"/>
      <c r="G104" s="356"/>
      <c r="H104" s="59"/>
      <c r="I104" s="59"/>
      <c r="J104" s="357"/>
      <c r="K104" s="59"/>
      <c r="L104" s="59"/>
      <c r="M104" s="59"/>
      <c r="N104" s="59"/>
    </row>
    <row r="105" spans="1:14" s="3" customFormat="1" ht="12.75">
      <c r="A105" s="59"/>
      <c r="B105" s="59"/>
      <c r="C105" s="59"/>
      <c r="D105" s="356"/>
      <c r="E105" s="59"/>
      <c r="F105" s="59"/>
      <c r="G105" s="356"/>
      <c r="H105" s="59"/>
      <c r="I105" s="59"/>
      <c r="J105" s="357"/>
      <c r="K105" s="59"/>
      <c r="L105" s="59"/>
      <c r="M105" s="59"/>
      <c r="N105" s="59"/>
    </row>
    <row r="106" spans="1:14" s="3" customFormat="1" ht="12.75">
      <c r="A106" s="59"/>
      <c r="B106" s="59"/>
      <c r="C106" s="59"/>
      <c r="D106" s="356"/>
      <c r="E106" s="59"/>
      <c r="F106" s="59"/>
      <c r="G106" s="356"/>
      <c r="H106" s="59"/>
      <c r="I106" s="59"/>
      <c r="J106" s="357"/>
      <c r="K106" s="59"/>
      <c r="L106" s="59"/>
      <c r="M106" s="59"/>
      <c r="N106" s="59"/>
    </row>
    <row r="107" spans="1:14" s="3" customFormat="1" ht="12.75">
      <c r="A107" s="59"/>
      <c r="B107" s="59"/>
      <c r="C107" s="59"/>
      <c r="D107" s="356"/>
      <c r="E107" s="59"/>
      <c r="F107" s="59"/>
      <c r="G107" s="356"/>
      <c r="H107" s="59"/>
      <c r="I107" s="59"/>
      <c r="J107" s="357"/>
      <c r="K107" s="59"/>
      <c r="L107" s="59"/>
      <c r="M107" s="59"/>
      <c r="N107" s="59"/>
    </row>
    <row r="108" spans="1:14" s="3" customFormat="1" ht="12.75">
      <c r="A108" s="59"/>
      <c r="B108" s="59"/>
      <c r="C108" s="59"/>
      <c r="D108" s="356"/>
      <c r="E108" s="59"/>
      <c r="F108" s="59"/>
      <c r="G108" s="356"/>
      <c r="H108" s="59"/>
      <c r="I108" s="59"/>
      <c r="J108" s="357"/>
      <c r="K108" s="59"/>
      <c r="L108" s="59"/>
      <c r="M108" s="59"/>
      <c r="N108" s="59"/>
    </row>
    <row r="109" spans="1:14" s="3" customFormat="1" ht="12.75">
      <c r="A109" s="59"/>
      <c r="B109" s="59"/>
      <c r="C109" s="59"/>
      <c r="D109" s="356"/>
      <c r="E109" s="59"/>
      <c r="F109" s="59"/>
      <c r="G109" s="356"/>
      <c r="H109" s="59"/>
      <c r="I109" s="59"/>
      <c r="J109" s="357"/>
      <c r="K109" s="59"/>
      <c r="L109" s="59"/>
      <c r="M109" s="59"/>
      <c r="N109" s="59"/>
    </row>
    <row r="110" spans="1:14" s="3" customFormat="1" ht="12.75">
      <c r="A110" s="59"/>
      <c r="B110" s="59"/>
      <c r="C110" s="59"/>
      <c r="D110" s="356"/>
      <c r="E110" s="59"/>
      <c r="F110" s="59"/>
      <c r="G110" s="356"/>
      <c r="H110" s="59"/>
      <c r="I110" s="59"/>
      <c r="J110" s="357"/>
      <c r="K110" s="59"/>
      <c r="L110" s="59"/>
      <c r="M110" s="59"/>
      <c r="N110" s="59"/>
    </row>
    <row r="111" spans="1:14" s="3" customFormat="1" ht="12.75">
      <c r="A111" s="59"/>
      <c r="B111" s="59"/>
      <c r="C111" s="59"/>
      <c r="D111" s="356"/>
      <c r="E111" s="59"/>
      <c r="F111" s="59"/>
      <c r="G111" s="356"/>
      <c r="H111" s="59"/>
      <c r="I111" s="59"/>
      <c r="J111" s="357"/>
      <c r="K111" s="59"/>
      <c r="L111" s="59"/>
      <c r="M111" s="59"/>
      <c r="N111" s="59"/>
    </row>
    <row r="112" spans="1:14" s="3" customFormat="1" ht="12.75">
      <c r="A112" s="59"/>
      <c r="B112" s="59"/>
      <c r="C112" s="59"/>
      <c r="D112" s="356"/>
      <c r="E112" s="59"/>
      <c r="F112" s="59"/>
      <c r="G112" s="356"/>
      <c r="H112" s="59"/>
      <c r="I112" s="59"/>
      <c r="J112" s="357"/>
      <c r="K112" s="59"/>
      <c r="L112" s="59"/>
      <c r="M112" s="59"/>
      <c r="N112" s="59"/>
    </row>
    <row r="113" spans="1:14" s="3" customFormat="1" ht="11.2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</row>
    <row r="114" spans="1:14" s="3" customFormat="1" ht="11.2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</row>
    <row r="115" spans="1:14" s="3" customFormat="1" ht="11.2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</row>
    <row r="116" spans="1:14" s="3" customFormat="1" ht="11.2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</row>
    <row r="117" spans="1:14" s="3" customFormat="1" ht="11.2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</row>
    <row r="118" spans="1:14" s="3" customFormat="1" ht="11.2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</row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  <row r="179" s="3" customFormat="1" ht="11.25"/>
    <row r="180" s="3" customFormat="1" ht="11.25"/>
    <row r="181" s="3" customFormat="1" ht="11.25"/>
    <row r="182" s="3" customFormat="1" ht="11.25"/>
    <row r="183" s="3" customFormat="1" ht="11.25"/>
    <row r="184" s="3" customFormat="1" ht="11.25"/>
    <row r="185" s="3" customFormat="1" ht="11.25"/>
    <row r="186" s="3" customFormat="1" ht="11.25"/>
    <row r="187" s="3" customFormat="1" ht="11.25"/>
    <row r="188" s="3" customFormat="1" ht="11.25"/>
    <row r="189" s="3" customFormat="1" ht="11.25"/>
    <row r="190" s="3" customFormat="1" ht="11.25"/>
    <row r="191" s="3" customFormat="1" ht="11.25"/>
    <row r="192" s="3" customFormat="1" ht="11.25"/>
    <row r="193" s="3" customFormat="1" ht="11.25"/>
    <row r="194" s="3" customFormat="1" ht="11.25"/>
    <row r="195" s="3" customFormat="1" ht="11.25"/>
    <row r="196" s="3" customFormat="1" ht="11.25"/>
    <row r="197" s="3" customFormat="1" ht="11.25"/>
    <row r="198" s="3" customFormat="1" ht="11.25"/>
    <row r="199" s="3" customFormat="1" ht="11.25"/>
    <row r="200" s="3" customFormat="1" ht="11.25"/>
    <row r="201" s="3" customFormat="1" ht="11.25"/>
    <row r="202" s="3" customFormat="1" ht="11.25"/>
    <row r="203" s="3" customFormat="1" ht="11.25"/>
    <row r="204" s="3" customFormat="1" ht="11.25"/>
    <row r="205" s="3" customFormat="1" ht="11.25"/>
    <row r="206" s="3" customFormat="1" ht="11.25"/>
    <row r="207" s="3" customFormat="1" ht="11.25"/>
    <row r="208" s="3" customFormat="1" ht="11.25"/>
    <row r="209" s="3" customFormat="1" ht="11.25"/>
    <row r="210" s="3" customFormat="1" ht="11.25"/>
    <row r="211" s="3" customFormat="1" ht="11.25"/>
    <row r="212" s="3" customFormat="1" ht="11.25"/>
    <row r="213" s="3" customFormat="1" ht="11.25"/>
    <row r="214" s="3" customFormat="1" ht="11.25"/>
    <row r="215" s="3" customFormat="1" ht="11.25"/>
    <row r="216" s="3" customFormat="1" ht="11.25"/>
    <row r="217" s="3" customFormat="1" ht="11.25"/>
    <row r="218" s="3" customFormat="1" ht="11.25"/>
    <row r="219" s="3" customFormat="1" ht="11.25"/>
    <row r="220" s="3" customFormat="1" ht="11.25"/>
    <row r="221" s="3" customFormat="1" ht="11.25"/>
    <row r="222" s="3" customFormat="1" ht="11.25"/>
    <row r="223" s="3" customFormat="1" ht="11.25"/>
    <row r="224" s="3" customFormat="1" ht="11.25"/>
    <row r="225" s="3" customFormat="1" ht="11.25"/>
    <row r="226" s="3" customFormat="1" ht="11.25"/>
    <row r="227" s="3" customFormat="1" ht="11.25"/>
    <row r="228" s="3" customFormat="1" ht="11.25"/>
    <row r="229" s="3" customFormat="1" ht="11.25"/>
    <row r="230" s="3" customFormat="1" ht="11.25"/>
    <row r="231" s="3" customFormat="1" ht="11.25"/>
    <row r="232" s="3" customFormat="1" ht="11.25"/>
    <row r="233" s="3" customFormat="1" ht="11.25"/>
    <row r="234" s="3" customFormat="1" ht="11.25"/>
    <row r="235" s="3" customFormat="1" ht="11.25"/>
    <row r="236" s="3" customFormat="1" ht="11.25"/>
    <row r="237" s="3" customFormat="1" ht="11.25"/>
    <row r="238" s="3" customFormat="1" ht="11.25"/>
    <row r="239" s="3" customFormat="1" ht="11.25"/>
    <row r="240" s="3" customFormat="1" ht="11.25"/>
    <row r="241" s="3" customFormat="1" ht="11.25"/>
    <row r="242" s="3" customFormat="1" ht="11.25"/>
    <row r="243" s="3" customFormat="1" ht="11.25"/>
    <row r="244" s="3" customFormat="1" ht="11.25"/>
    <row r="245" s="3" customFormat="1" ht="11.25"/>
    <row r="246" s="3" customFormat="1" ht="11.25"/>
    <row r="247" s="3" customFormat="1" ht="11.25"/>
    <row r="248" s="3" customFormat="1" ht="11.25"/>
    <row r="249" s="3" customFormat="1" ht="11.25"/>
    <row r="250" s="3" customFormat="1" ht="11.25"/>
    <row r="251" s="3" customFormat="1" ht="11.25"/>
    <row r="252" s="3" customFormat="1" ht="11.25"/>
    <row r="253" s="3" customFormat="1" ht="11.25"/>
    <row r="254" s="3" customFormat="1" ht="11.25"/>
    <row r="255" s="3" customFormat="1" ht="11.25"/>
    <row r="256" s="3" customFormat="1" ht="11.25"/>
    <row r="257" s="3" customFormat="1" ht="11.25"/>
    <row r="258" s="3" customFormat="1" ht="11.25"/>
    <row r="259" s="3" customFormat="1" ht="11.25"/>
    <row r="260" s="3" customFormat="1" ht="11.25"/>
    <row r="261" s="3" customFormat="1" ht="11.25"/>
    <row r="262" s="3" customFormat="1" ht="11.25"/>
    <row r="263" s="3" customFormat="1" ht="11.25"/>
    <row r="264" s="3" customFormat="1" ht="11.25"/>
    <row r="265" s="3" customFormat="1" ht="11.25"/>
    <row r="266" s="3" customFormat="1" ht="11.25"/>
    <row r="267" s="3" customFormat="1" ht="11.25"/>
    <row r="268" s="3" customFormat="1" ht="11.25"/>
    <row r="269" s="3" customFormat="1" ht="11.25"/>
    <row r="270" s="3" customFormat="1" ht="11.25"/>
    <row r="271" s="3" customFormat="1" ht="11.25"/>
    <row r="272" s="3" customFormat="1" ht="11.25"/>
    <row r="273" s="3" customFormat="1" ht="11.25"/>
    <row r="274" s="3" customFormat="1" ht="11.25"/>
    <row r="275" s="3" customFormat="1" ht="11.25"/>
    <row r="276" s="3" customFormat="1" ht="11.25"/>
    <row r="277" s="3" customFormat="1" ht="11.25"/>
    <row r="278" s="3" customFormat="1" ht="11.25"/>
    <row r="279" s="3" customFormat="1" ht="11.25"/>
    <row r="280" s="3" customFormat="1" ht="11.25"/>
    <row r="281" s="3" customFormat="1" ht="11.25"/>
    <row r="282" s="3" customFormat="1" ht="11.25"/>
    <row r="283" s="3" customFormat="1" ht="11.25"/>
    <row r="284" s="3" customFormat="1" ht="11.25"/>
    <row r="285" s="3" customFormat="1" ht="11.25"/>
    <row r="286" s="3" customFormat="1" ht="11.25"/>
    <row r="287" s="3" customFormat="1" ht="11.25"/>
    <row r="288" s="3" customFormat="1" ht="11.25"/>
    <row r="289" s="3" customFormat="1" ht="11.25"/>
    <row r="290" s="3" customFormat="1" ht="11.25"/>
    <row r="291" s="3" customFormat="1" ht="11.25"/>
    <row r="292" s="3" customFormat="1" ht="11.25"/>
    <row r="293" s="3" customFormat="1" ht="11.25"/>
    <row r="294" s="3" customFormat="1" ht="11.25"/>
    <row r="295" s="3" customFormat="1" ht="11.25"/>
    <row r="296" s="3" customFormat="1" ht="11.25"/>
    <row r="297" s="3" customFormat="1" ht="11.25"/>
    <row r="298" s="3" customFormat="1" ht="11.25"/>
    <row r="299" s="3" customFormat="1" ht="11.25"/>
    <row r="300" s="3" customFormat="1" ht="11.25"/>
    <row r="301" s="3" customFormat="1" ht="11.25"/>
    <row r="302" s="3" customFormat="1" ht="11.25"/>
    <row r="303" s="3" customFormat="1" ht="11.25"/>
    <row r="304" s="3" customFormat="1" ht="11.25"/>
    <row r="305" s="3" customFormat="1" ht="11.25"/>
    <row r="306" s="3" customFormat="1" ht="11.25"/>
    <row r="307" s="3" customFormat="1" ht="11.25"/>
    <row r="308" s="3" customFormat="1" ht="11.25"/>
    <row r="309" s="3" customFormat="1" ht="11.25"/>
    <row r="310" s="3" customFormat="1" ht="11.25"/>
    <row r="311" s="3" customFormat="1" ht="11.25"/>
    <row r="312" s="3" customFormat="1" ht="11.25"/>
    <row r="313" s="3" customFormat="1" ht="11.25"/>
    <row r="314" s="3" customFormat="1" ht="11.25"/>
    <row r="315" s="3" customFormat="1" ht="11.25"/>
    <row r="316" s="3" customFormat="1" ht="11.25"/>
    <row r="317" s="3" customFormat="1" ht="11.25"/>
    <row r="318" s="3" customFormat="1" ht="11.25"/>
    <row r="319" s="3" customFormat="1" ht="11.25"/>
    <row r="320" s="3" customFormat="1" ht="11.25"/>
    <row r="321" s="3" customFormat="1" ht="11.25"/>
    <row r="322" s="3" customFormat="1" ht="11.25"/>
    <row r="323" s="3" customFormat="1" ht="11.25"/>
    <row r="324" s="3" customFormat="1" ht="11.25"/>
    <row r="325" s="3" customFormat="1" ht="11.25"/>
    <row r="326" s="3" customFormat="1" ht="11.25"/>
    <row r="327" s="3" customFormat="1" ht="11.25"/>
    <row r="328" s="3" customFormat="1" ht="11.25"/>
    <row r="329" s="3" customFormat="1" ht="11.25"/>
    <row r="330" s="3" customFormat="1" ht="11.25"/>
    <row r="331" s="3" customFormat="1" ht="11.25"/>
    <row r="332" s="3" customFormat="1" ht="11.25"/>
    <row r="333" s="3" customFormat="1" ht="11.25"/>
    <row r="334" s="3" customFormat="1" ht="11.25"/>
    <row r="335" s="3" customFormat="1" ht="11.25"/>
    <row r="336" s="3" customFormat="1" ht="11.25"/>
    <row r="337" s="3" customFormat="1" ht="11.25"/>
    <row r="338" s="3" customFormat="1" ht="11.25"/>
    <row r="339" s="3" customFormat="1" ht="11.25"/>
    <row r="340" s="3" customFormat="1" ht="11.25"/>
    <row r="341" s="3" customFormat="1" ht="11.25"/>
    <row r="342" s="3" customFormat="1" ht="11.25"/>
    <row r="343" s="3" customFormat="1" ht="11.25"/>
    <row r="344" s="3" customFormat="1" ht="11.25"/>
    <row r="345" s="3" customFormat="1" ht="11.25"/>
    <row r="346" s="3" customFormat="1" ht="11.25"/>
    <row r="347" s="3" customFormat="1" ht="11.25"/>
    <row r="348" s="3" customFormat="1" ht="11.25"/>
    <row r="349" s="3" customFormat="1" ht="11.25"/>
    <row r="350" s="3" customFormat="1" ht="11.25"/>
    <row r="351" s="3" customFormat="1" ht="11.25"/>
    <row r="352" s="3" customFormat="1" ht="11.25"/>
    <row r="353" s="3" customFormat="1" ht="11.25"/>
    <row r="354" s="3" customFormat="1" ht="11.25"/>
    <row r="355" s="3" customFormat="1" ht="11.25"/>
    <row r="356" s="3" customFormat="1" ht="11.25"/>
    <row r="357" s="3" customFormat="1" ht="11.25"/>
    <row r="358" s="3" customFormat="1" ht="11.25"/>
    <row r="359" s="3" customFormat="1" ht="11.25"/>
    <row r="360" s="3" customFormat="1" ht="11.25"/>
    <row r="361" s="3" customFormat="1" ht="11.25"/>
    <row r="362" s="3" customFormat="1" ht="11.25"/>
    <row r="363" s="3" customFormat="1" ht="11.25"/>
    <row r="364" s="3" customFormat="1" ht="11.25"/>
    <row r="365" s="3" customFormat="1" ht="11.25"/>
    <row r="366" s="3" customFormat="1" ht="11.25"/>
    <row r="367" s="3" customFormat="1" ht="11.25"/>
    <row r="368" s="3" customFormat="1" ht="11.25"/>
    <row r="369" s="3" customFormat="1" ht="11.25"/>
    <row r="370" s="3" customFormat="1" ht="11.25"/>
    <row r="371" s="3" customFormat="1" ht="11.25"/>
    <row r="372" s="3" customFormat="1" ht="11.25"/>
    <row r="373" s="3" customFormat="1" ht="11.25"/>
    <row r="374" s="3" customFormat="1" ht="11.25"/>
    <row r="375" s="3" customFormat="1" ht="11.25"/>
    <row r="376" s="3" customFormat="1" ht="11.25"/>
    <row r="377" s="3" customFormat="1" ht="11.25"/>
    <row r="378" s="3" customFormat="1" ht="11.25"/>
    <row r="379" s="3" customFormat="1" ht="11.25"/>
    <row r="380" s="3" customFormat="1" ht="11.25"/>
    <row r="381" s="3" customFormat="1" ht="11.25"/>
    <row r="382" s="3" customFormat="1" ht="11.25"/>
    <row r="383" s="3" customFormat="1" ht="11.25"/>
    <row r="384" s="3" customFormat="1" ht="11.25"/>
    <row r="385" s="3" customFormat="1" ht="11.25"/>
    <row r="386" s="3" customFormat="1" ht="11.25"/>
    <row r="387" s="3" customFormat="1" ht="11.25"/>
    <row r="388" s="3" customFormat="1" ht="11.25"/>
    <row r="389" s="3" customFormat="1" ht="11.25"/>
    <row r="390" s="3" customFormat="1" ht="11.25"/>
    <row r="391" s="3" customFormat="1" ht="11.25"/>
    <row r="392" s="3" customFormat="1" ht="11.25"/>
    <row r="393" s="3" customFormat="1" ht="11.25"/>
    <row r="394" s="3" customFormat="1" ht="11.25"/>
    <row r="395" s="3" customFormat="1" ht="11.25"/>
    <row r="396" s="3" customFormat="1" ht="11.25"/>
    <row r="397" s="3" customFormat="1" ht="11.25"/>
    <row r="398" s="3" customFormat="1" ht="11.25"/>
    <row r="399" s="3" customFormat="1" ht="11.25"/>
    <row r="400" s="3" customFormat="1" ht="11.25"/>
    <row r="401" s="3" customFormat="1" ht="11.25"/>
    <row r="402" s="3" customFormat="1" ht="11.25"/>
    <row r="403" s="3" customFormat="1" ht="11.25"/>
    <row r="404" s="3" customFormat="1" ht="11.25"/>
    <row r="405" s="3" customFormat="1" ht="11.25"/>
    <row r="406" s="3" customFormat="1" ht="11.25"/>
    <row r="407" s="3" customFormat="1" ht="11.25"/>
    <row r="408" s="3" customFormat="1" ht="11.25"/>
    <row r="409" s="3" customFormat="1" ht="11.25"/>
    <row r="410" s="3" customFormat="1" ht="11.25"/>
    <row r="411" s="3" customFormat="1" ht="11.25"/>
    <row r="412" s="3" customFormat="1" ht="11.25"/>
    <row r="413" s="3" customFormat="1" ht="11.25"/>
    <row r="414" s="3" customFormat="1" ht="11.25"/>
    <row r="415" s="3" customFormat="1" ht="11.25"/>
    <row r="416" s="3" customFormat="1" ht="11.25"/>
    <row r="417" s="3" customFormat="1" ht="11.25"/>
    <row r="418" s="3" customFormat="1" ht="11.25"/>
    <row r="419" s="3" customFormat="1" ht="11.25"/>
    <row r="420" s="3" customFormat="1" ht="11.25"/>
    <row r="421" s="3" customFormat="1" ht="11.25"/>
    <row r="422" s="3" customFormat="1" ht="11.25"/>
    <row r="423" s="3" customFormat="1" ht="11.25"/>
    <row r="424" s="3" customFormat="1" ht="11.25"/>
    <row r="425" s="3" customFormat="1" ht="11.25"/>
    <row r="426" s="3" customFormat="1" ht="11.25"/>
    <row r="427" s="3" customFormat="1" ht="11.25"/>
    <row r="428" s="3" customFormat="1" ht="11.25"/>
    <row r="429" s="3" customFormat="1" ht="11.25"/>
    <row r="430" s="3" customFormat="1" ht="11.25"/>
    <row r="431" s="3" customFormat="1" ht="11.25"/>
    <row r="432" s="3" customFormat="1" ht="11.25"/>
    <row r="433" s="3" customFormat="1" ht="11.25"/>
    <row r="434" s="3" customFormat="1" ht="11.25"/>
    <row r="435" s="3" customFormat="1" ht="11.25"/>
    <row r="436" s="3" customFormat="1" ht="11.25"/>
    <row r="437" s="3" customFormat="1" ht="11.25"/>
    <row r="438" s="3" customFormat="1" ht="11.25"/>
    <row r="439" s="3" customFormat="1" ht="11.25"/>
    <row r="440" s="3" customFormat="1" ht="11.25"/>
    <row r="441" s="3" customFormat="1" ht="11.25"/>
    <row r="442" s="3" customFormat="1" ht="11.25"/>
    <row r="443" s="3" customFormat="1" ht="11.25"/>
    <row r="444" s="3" customFormat="1" ht="11.25"/>
    <row r="445" s="3" customFormat="1" ht="11.25"/>
    <row r="446" s="3" customFormat="1" ht="11.25"/>
    <row r="447" s="3" customFormat="1" ht="11.25"/>
    <row r="448" s="3" customFormat="1" ht="11.25"/>
    <row r="449" s="3" customFormat="1" ht="11.25"/>
    <row r="450" s="3" customFormat="1" ht="11.25"/>
    <row r="451" s="3" customFormat="1" ht="11.25"/>
    <row r="452" s="3" customFormat="1" ht="11.25"/>
    <row r="453" s="3" customFormat="1" ht="11.25"/>
    <row r="454" s="3" customFormat="1" ht="11.25"/>
    <row r="455" s="3" customFormat="1" ht="11.25"/>
    <row r="456" s="3" customFormat="1" ht="11.25"/>
    <row r="457" s="3" customFormat="1" ht="11.25"/>
    <row r="458" s="3" customFormat="1" ht="11.25"/>
    <row r="459" s="3" customFormat="1" ht="11.25"/>
    <row r="460" s="3" customFormat="1" ht="11.25"/>
    <row r="461" s="3" customFormat="1" ht="11.25"/>
    <row r="462" s="3" customFormat="1" ht="11.25"/>
    <row r="463" s="3" customFormat="1" ht="11.25"/>
    <row r="464" s="3" customFormat="1" ht="11.25"/>
    <row r="465" s="3" customFormat="1" ht="11.25"/>
    <row r="466" s="3" customFormat="1" ht="11.25"/>
    <row r="467" s="3" customFormat="1" ht="11.25"/>
    <row r="468" s="3" customFormat="1" ht="11.25"/>
    <row r="469" s="3" customFormat="1" ht="11.25"/>
    <row r="470" s="3" customFormat="1" ht="11.25"/>
    <row r="471" s="3" customFormat="1" ht="11.25"/>
    <row r="472" s="3" customFormat="1" ht="11.25"/>
    <row r="473" s="3" customFormat="1" ht="11.25"/>
    <row r="474" s="3" customFormat="1" ht="11.25"/>
    <row r="475" s="3" customFormat="1" ht="11.25"/>
    <row r="476" s="3" customFormat="1" ht="11.25"/>
    <row r="477" s="3" customFormat="1" ht="11.25"/>
    <row r="478" s="3" customFormat="1" ht="11.25"/>
    <row r="479" s="3" customFormat="1" ht="11.25"/>
    <row r="480" s="3" customFormat="1" ht="11.25"/>
    <row r="481" s="3" customFormat="1" ht="11.25"/>
    <row r="482" s="3" customFormat="1" ht="11.25"/>
    <row r="483" s="3" customFormat="1" ht="11.25"/>
    <row r="484" s="3" customFormat="1" ht="11.25"/>
    <row r="485" s="3" customFormat="1" ht="11.25"/>
    <row r="486" s="3" customFormat="1" ht="11.25"/>
    <row r="487" s="3" customFormat="1" ht="11.25"/>
    <row r="488" s="3" customFormat="1" ht="11.25"/>
    <row r="489" s="3" customFormat="1" ht="11.25"/>
    <row r="490" s="3" customFormat="1" ht="11.25"/>
    <row r="491" s="3" customFormat="1" ht="11.25"/>
    <row r="492" s="3" customFormat="1" ht="11.25"/>
    <row r="493" s="3" customFormat="1" ht="11.25"/>
    <row r="494" s="3" customFormat="1" ht="11.25"/>
    <row r="495" s="3" customFormat="1" ht="11.25"/>
    <row r="496" s="3" customFormat="1" ht="11.25"/>
    <row r="497" s="3" customFormat="1" ht="11.25"/>
    <row r="498" s="3" customFormat="1" ht="11.25"/>
    <row r="499" s="3" customFormat="1" ht="11.25"/>
    <row r="500" s="3" customFormat="1" ht="11.25"/>
    <row r="501" s="3" customFormat="1" ht="11.25"/>
    <row r="502" s="3" customFormat="1" ht="11.25"/>
    <row r="503" s="3" customFormat="1" ht="11.25"/>
    <row r="504" s="3" customFormat="1" ht="11.25"/>
    <row r="505" s="3" customFormat="1" ht="11.25"/>
    <row r="506" s="3" customFormat="1" ht="11.25"/>
    <row r="507" s="3" customFormat="1" ht="11.25"/>
    <row r="508" s="3" customFormat="1" ht="11.25"/>
    <row r="509" s="3" customFormat="1" ht="11.25"/>
    <row r="510" s="3" customFormat="1" ht="11.25"/>
    <row r="511" s="3" customFormat="1" ht="11.25"/>
    <row r="512" s="3" customFormat="1" ht="11.25"/>
    <row r="513" s="3" customFormat="1" ht="11.25"/>
    <row r="514" s="3" customFormat="1" ht="11.25"/>
    <row r="515" s="3" customFormat="1" ht="11.25"/>
    <row r="516" s="3" customFormat="1" ht="11.25"/>
    <row r="517" s="3" customFormat="1" ht="11.25"/>
    <row r="518" s="3" customFormat="1" ht="11.25"/>
    <row r="519" s="3" customFormat="1" ht="11.25"/>
    <row r="520" s="3" customFormat="1" ht="11.25"/>
    <row r="521" s="3" customFormat="1" ht="11.25"/>
    <row r="522" s="3" customFormat="1" ht="11.25"/>
    <row r="523" s="3" customFormat="1" ht="11.25"/>
    <row r="524" s="3" customFormat="1" ht="11.25"/>
    <row r="525" s="3" customFormat="1" ht="11.25"/>
    <row r="526" s="3" customFormat="1" ht="11.25"/>
    <row r="527" s="3" customFormat="1" ht="11.25"/>
    <row r="528" s="3" customFormat="1" ht="11.25"/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  <row r="560" s="3" customFormat="1" ht="11.25"/>
    <row r="561" s="3" customFormat="1" ht="11.25"/>
    <row r="562" s="3" customFormat="1" ht="11.25"/>
    <row r="563" s="3" customFormat="1" ht="11.25"/>
    <row r="564" s="3" customFormat="1" ht="11.25"/>
    <row r="565" s="3" customFormat="1" ht="11.25"/>
    <row r="566" s="3" customFormat="1" ht="11.25"/>
    <row r="567" s="3" customFormat="1" ht="11.25"/>
    <row r="568" s="3" customFormat="1" ht="11.25"/>
    <row r="569" s="3" customFormat="1" ht="11.25"/>
    <row r="570" s="3" customFormat="1" ht="11.25"/>
    <row r="571" s="3" customFormat="1" ht="11.25"/>
    <row r="572" s="3" customFormat="1" ht="11.25"/>
    <row r="573" s="3" customFormat="1" ht="11.25"/>
    <row r="574" s="3" customFormat="1" ht="11.25"/>
    <row r="575" s="3" customFormat="1" ht="11.25"/>
    <row r="576" s="3" customFormat="1" ht="11.25"/>
    <row r="577" s="3" customFormat="1" ht="11.25"/>
    <row r="578" s="3" customFormat="1" ht="11.25"/>
    <row r="579" s="3" customFormat="1" ht="11.25"/>
    <row r="580" s="3" customFormat="1" ht="11.25"/>
    <row r="581" s="3" customFormat="1" ht="11.25"/>
    <row r="582" s="3" customFormat="1" ht="11.25"/>
    <row r="583" s="3" customFormat="1" ht="11.25"/>
    <row r="584" s="3" customFormat="1" ht="11.25"/>
    <row r="585" s="3" customFormat="1" ht="11.25"/>
    <row r="586" s="3" customFormat="1" ht="11.25"/>
    <row r="587" s="3" customFormat="1" ht="11.25"/>
    <row r="588" s="3" customFormat="1" ht="11.25"/>
    <row r="589" s="3" customFormat="1" ht="11.25"/>
    <row r="590" s="3" customFormat="1" ht="11.25"/>
    <row r="591" s="3" customFormat="1" ht="11.25"/>
    <row r="592" s="3" customFormat="1" ht="11.25"/>
    <row r="593" s="3" customFormat="1" ht="11.25"/>
    <row r="594" s="3" customFormat="1" ht="11.25"/>
    <row r="595" s="3" customFormat="1" ht="11.25"/>
    <row r="596" s="3" customFormat="1" ht="11.25"/>
    <row r="597" s="3" customFormat="1" ht="11.25"/>
    <row r="598" s="3" customFormat="1" ht="11.25"/>
    <row r="599" s="3" customFormat="1" ht="11.25"/>
    <row r="600" s="3" customFormat="1" ht="11.25"/>
    <row r="601" s="3" customFormat="1" ht="11.25"/>
    <row r="602" s="3" customFormat="1" ht="11.25"/>
    <row r="603" s="3" customFormat="1" ht="11.25"/>
    <row r="604" s="3" customFormat="1" ht="11.25"/>
    <row r="605" s="3" customFormat="1" ht="11.25"/>
    <row r="606" s="3" customFormat="1" ht="11.25"/>
    <row r="607" s="3" customFormat="1" ht="11.25"/>
    <row r="608" s="3" customFormat="1" ht="11.25"/>
    <row r="609" s="3" customFormat="1" ht="11.25"/>
    <row r="610" s="3" customFormat="1" ht="11.25"/>
    <row r="611" s="3" customFormat="1" ht="11.25"/>
    <row r="612" s="3" customFormat="1" ht="11.25"/>
    <row r="613" s="3" customFormat="1" ht="11.25"/>
    <row r="614" s="3" customFormat="1" ht="11.25"/>
    <row r="615" s="3" customFormat="1" ht="11.25"/>
    <row r="616" s="3" customFormat="1" ht="11.25"/>
    <row r="617" s="3" customFormat="1" ht="11.25"/>
    <row r="618" s="3" customFormat="1" ht="11.25"/>
    <row r="619" s="3" customFormat="1" ht="11.25"/>
    <row r="620" s="3" customFormat="1" ht="11.25"/>
    <row r="621" s="3" customFormat="1" ht="11.25"/>
  </sheetData>
  <sheetProtection sheet="1" objects="1" scenarios="1"/>
  <mergeCells count="16">
    <mergeCell ref="H54:I54"/>
    <mergeCell ref="E12:G12"/>
    <mergeCell ref="A8:J8"/>
    <mergeCell ref="A9:J9"/>
    <mergeCell ref="A10:J10"/>
    <mergeCell ref="A11:J11"/>
    <mergeCell ref="B20:D20"/>
    <mergeCell ref="C21:D21"/>
    <mergeCell ref="B19:D19"/>
    <mergeCell ref="B17:D17"/>
    <mergeCell ref="B18:D18"/>
    <mergeCell ref="B16:D16"/>
    <mergeCell ref="B12:D12"/>
    <mergeCell ref="B13:D13"/>
    <mergeCell ref="B14:D14"/>
    <mergeCell ref="B15:D15"/>
  </mergeCells>
  <printOptions/>
  <pageMargins left="0.5" right="0.5" top="0.5" bottom="0.5" header="0" footer="0"/>
  <pageSetup fitToHeight="1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U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28125" style="49" customWidth="1"/>
    <col min="2" max="2" width="20.7109375" style="49" customWidth="1"/>
    <col min="3" max="3" width="15.7109375" style="49" customWidth="1"/>
    <col min="4" max="4" width="13.57421875" style="49" customWidth="1"/>
    <col min="5" max="6" width="15.7109375" style="49" customWidth="1"/>
    <col min="7" max="7" width="9.140625" style="49" customWidth="1"/>
    <col min="8" max="8" width="16.28125" style="49" customWidth="1"/>
    <col min="9" max="9" width="6.7109375" style="49" customWidth="1"/>
    <col min="10" max="250" width="9.140625" style="49" customWidth="1"/>
    <col min="251" max="251" width="12.8515625" style="49" bestFit="1" customWidth="1"/>
    <col min="252" max="16384" width="9.140625" style="49" customWidth="1"/>
  </cols>
  <sheetData>
    <row r="1" spans="1:255" ht="12.75">
      <c r="A1" s="369" t="s">
        <v>996</v>
      </c>
      <c r="B1" s="369"/>
      <c r="C1" s="369"/>
      <c r="D1" s="369"/>
      <c r="E1" s="369"/>
      <c r="F1" s="49" t="s">
        <v>1310</v>
      </c>
      <c r="G1" s="369"/>
      <c r="H1" s="369"/>
      <c r="I1" s="369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</row>
    <row r="2" spans="1:255" ht="12.75">
      <c r="A2" s="485" t="s">
        <v>857</v>
      </c>
      <c r="B2" s="484"/>
      <c r="C2" s="484"/>
      <c r="D2" s="486"/>
      <c r="E2" s="486"/>
      <c r="F2" s="486"/>
      <c r="G2" s="369"/>
      <c r="H2" s="369"/>
      <c r="I2" s="369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</row>
    <row r="3" spans="1:255" ht="13.5" thickBot="1">
      <c r="A3" s="369"/>
      <c r="B3" s="369"/>
      <c r="C3" s="369"/>
      <c r="D3" s="369"/>
      <c r="E3" s="369"/>
      <c r="F3" s="369"/>
      <c r="G3" s="369"/>
      <c r="H3" s="369"/>
      <c r="I3" s="369"/>
      <c r="N3" s="49" t="s">
        <v>681</v>
      </c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</row>
    <row r="4" spans="1:255" ht="15.75">
      <c r="A4" s="370" t="s">
        <v>660</v>
      </c>
      <c r="B4" s="371"/>
      <c r="C4" s="371"/>
      <c r="D4" s="372"/>
      <c r="E4" s="371"/>
      <c r="F4" s="371"/>
      <c r="G4" s="373"/>
      <c r="H4" s="369"/>
      <c r="I4" s="374"/>
      <c r="J4" s="51"/>
      <c r="N4" s="174" t="s">
        <v>94</v>
      </c>
      <c r="V4" s="50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</row>
    <row r="5" spans="1:255" ht="12.75">
      <c r="A5" s="375"/>
      <c r="B5" s="480"/>
      <c r="C5" s="376"/>
      <c r="D5" s="377" t="s">
        <v>672</v>
      </c>
      <c r="E5" s="487">
        <f>IF($B$10="","",VLOOKUP($B$10,Data!$A$243:$E$261,2,FALSE))</f>
      </c>
      <c r="F5" s="378"/>
      <c r="G5" s="379"/>
      <c r="H5" s="369"/>
      <c r="I5" s="380"/>
      <c r="J5" s="51"/>
      <c r="N5" s="174" t="s">
        <v>682</v>
      </c>
      <c r="V5" s="50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</row>
    <row r="6" spans="1:255" ht="12.75">
      <c r="A6" s="375" t="s">
        <v>684</v>
      </c>
      <c r="B6" s="25" t="s">
        <v>94</v>
      </c>
      <c r="C6" s="381"/>
      <c r="D6" s="377"/>
      <c r="E6" s="488">
        <f>IF($B$10="","",VLOOKUP($B$10,Data!$A$243:$E$261,3,FALSE))</f>
      </c>
      <c r="F6" s="382"/>
      <c r="G6" s="379"/>
      <c r="H6" s="369"/>
      <c r="I6" s="380"/>
      <c r="J6" s="51"/>
      <c r="N6" s="50"/>
      <c r="V6" s="50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</row>
    <row r="7" spans="1:255" ht="12.75">
      <c r="A7" s="375" t="s">
        <v>1003</v>
      </c>
      <c r="B7" s="141"/>
      <c r="C7" s="381"/>
      <c r="D7" s="377" t="s">
        <v>673</v>
      </c>
      <c r="E7" s="121"/>
      <c r="F7" s="383"/>
      <c r="G7" s="379"/>
      <c r="H7" s="369"/>
      <c r="I7" s="380"/>
      <c r="J7" s="51"/>
      <c r="N7" s="50"/>
      <c r="V7" s="50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ht="12.75">
      <c r="A8" s="375" t="s">
        <v>1002</v>
      </c>
      <c r="B8" s="141"/>
      <c r="C8" s="381"/>
      <c r="D8" s="377" t="s">
        <v>674</v>
      </c>
      <c r="E8" s="481">
        <f>IF($E$7="","",VLOOKUP($E$7,Data!$B$71:$J$110,3,FALSE))</f>
      </c>
      <c r="F8" s="382"/>
      <c r="G8" s="379"/>
      <c r="H8" s="369"/>
      <c r="I8" s="380"/>
      <c r="J8" s="51"/>
      <c r="N8" s="172"/>
      <c r="O8" s="51"/>
      <c r="P8" s="51"/>
      <c r="Q8" s="51"/>
      <c r="R8" s="51"/>
      <c r="S8" s="51"/>
      <c r="T8" s="51"/>
      <c r="V8" s="50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ht="12.75">
      <c r="A9" s="375" t="s">
        <v>104</v>
      </c>
      <c r="B9" s="25"/>
      <c r="C9" s="381"/>
      <c r="D9" s="377" t="s">
        <v>1046</v>
      </c>
      <c r="E9" s="481">
        <f>IF($E$7="","",VLOOKUP($E$7,Data!$B$71:$J$110,4,FALSE))</f>
      </c>
      <c r="F9" s="382"/>
      <c r="G9" s="379"/>
      <c r="H9" s="369"/>
      <c r="I9" s="385"/>
      <c r="J9" s="51"/>
      <c r="N9" s="172"/>
      <c r="O9" s="51"/>
      <c r="P9" s="51"/>
      <c r="Q9" s="51"/>
      <c r="R9" s="51"/>
      <c r="S9" s="51"/>
      <c r="T9" s="51"/>
      <c r="V9" s="50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ht="12.75">
      <c r="A10" s="375" t="s">
        <v>1041</v>
      </c>
      <c r="B10" s="25"/>
      <c r="C10" s="381"/>
      <c r="D10" s="377" t="s">
        <v>1007</v>
      </c>
      <c r="E10" s="481">
        <f>IF($E$7="","",VLOOKUP($E$7,Data!$B$71:$J$110,5,FALSE))</f>
      </c>
      <c r="F10" s="382"/>
      <c r="G10" s="379"/>
      <c r="H10" s="369"/>
      <c r="I10" s="369"/>
      <c r="N10" s="172"/>
      <c r="O10" s="51"/>
      <c r="P10" s="51"/>
      <c r="Q10" s="51"/>
      <c r="R10" s="51"/>
      <c r="S10" s="51"/>
      <c r="T10" s="51"/>
      <c r="V10" s="50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ht="12.75">
      <c r="A11" s="375" t="s">
        <v>685</v>
      </c>
      <c r="B11" s="141"/>
      <c r="C11" s="381"/>
      <c r="D11" s="377" t="s">
        <v>1047</v>
      </c>
      <c r="E11" s="481">
        <f>IF($E$7="","",VLOOKUP($E$7,Data!$B$71:$J$110,6,FALSE))</f>
      </c>
      <c r="F11" s="382"/>
      <c r="G11" s="379"/>
      <c r="H11" s="369"/>
      <c r="I11" s="369"/>
      <c r="N11" s="172"/>
      <c r="O11" s="51"/>
      <c r="P11" s="51"/>
      <c r="Q11" s="51"/>
      <c r="R11" s="51"/>
      <c r="S11" s="51"/>
      <c r="T11" s="51"/>
      <c r="V11" s="50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ht="12.75">
      <c r="A12" s="375" t="s">
        <v>1015</v>
      </c>
      <c r="B12" s="25"/>
      <c r="C12" s="381"/>
      <c r="D12" s="377" t="s">
        <v>1008</v>
      </c>
      <c r="E12" s="481">
        <f>IF($E$7="","",VLOOKUP($E$7,Data!$B$71:$J$110,7,FALSE))</f>
      </c>
      <c r="F12" s="382"/>
      <c r="G12" s="379"/>
      <c r="H12" s="369"/>
      <c r="I12" s="369"/>
      <c r="N12" s="172"/>
      <c r="O12" s="51"/>
      <c r="P12" s="51"/>
      <c r="Q12" s="51"/>
      <c r="R12" s="51"/>
      <c r="S12" s="51"/>
      <c r="T12" s="51"/>
      <c r="V12" s="50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ht="12.75">
      <c r="A13" s="375" t="s">
        <v>686</v>
      </c>
      <c r="B13" s="25"/>
      <c r="C13" s="381"/>
      <c r="D13" s="377" t="s">
        <v>1042</v>
      </c>
      <c r="E13" s="481">
        <f>IF($E$7="","",VLOOKUP($E$7,Data!$B$71:$J$110,8,FALSE))</f>
      </c>
      <c r="F13" s="382"/>
      <c r="G13" s="379"/>
      <c r="H13" s="369"/>
      <c r="I13" s="369"/>
      <c r="N13" s="172"/>
      <c r="O13" s="51"/>
      <c r="P13" s="51"/>
      <c r="Q13" s="51"/>
      <c r="R13" s="51"/>
      <c r="S13" s="51"/>
      <c r="T13" s="51"/>
      <c r="V13" s="50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ht="12.75">
      <c r="A14" s="386" t="s">
        <v>870</v>
      </c>
      <c r="B14" s="487">
        <f>IF($B$10="","",VLOOKUP($B$10,Data!$A$243:$E$261,5,FALSE))</f>
      </c>
      <c r="C14" s="387"/>
      <c r="D14" s="377" t="s">
        <v>675</v>
      </c>
      <c r="E14" s="146"/>
      <c r="F14" s="388"/>
      <c r="G14" s="379"/>
      <c r="H14" s="369"/>
      <c r="I14" s="369"/>
      <c r="N14" s="172"/>
      <c r="O14" s="51"/>
      <c r="P14" s="51"/>
      <c r="Q14" s="51"/>
      <c r="R14" s="51"/>
      <c r="S14" s="51"/>
      <c r="T14" s="51"/>
      <c r="V14" s="50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ht="12.75">
      <c r="A15" s="389"/>
      <c r="B15" s="387"/>
      <c r="C15" s="387"/>
      <c r="D15" s="387"/>
      <c r="E15" s="387"/>
      <c r="F15" s="387"/>
      <c r="G15" s="379"/>
      <c r="H15" s="369"/>
      <c r="I15" s="369"/>
      <c r="N15" s="171"/>
      <c r="O15" s="51"/>
      <c r="P15" s="51"/>
      <c r="Q15" s="51"/>
      <c r="R15" s="51"/>
      <c r="S15" s="51"/>
      <c r="T15" s="51"/>
      <c r="V15" s="50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ht="12.75">
      <c r="A16" s="390" t="s">
        <v>666</v>
      </c>
      <c r="B16" s="391"/>
      <c r="C16" s="387"/>
      <c r="D16" s="391" t="s">
        <v>679</v>
      </c>
      <c r="E16" s="391"/>
      <c r="F16" s="387"/>
      <c r="G16" s="392"/>
      <c r="H16" s="393"/>
      <c r="I16" s="369"/>
      <c r="N16" s="171"/>
      <c r="O16" s="51"/>
      <c r="P16" s="51"/>
      <c r="Q16" s="51"/>
      <c r="R16" s="51"/>
      <c r="S16" s="51"/>
      <c r="T16" s="51"/>
      <c r="V16" s="50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ht="12.75">
      <c r="A17" s="54"/>
      <c r="B17" s="481">
        <f>IF(A17="","",VLOOKUP($A$17,Data!$A$6:$L$66,3,FALSE))</f>
      </c>
      <c r="C17" s="483"/>
      <c r="D17" s="52"/>
      <c r="E17" s="481">
        <f>IF(D17="","",VLOOKUP($D$17,Data!$A$6:$L$66,3,FALSE))</f>
      </c>
      <c r="F17" s="483"/>
      <c r="G17" s="379"/>
      <c r="H17" s="369"/>
      <c r="I17" s="369"/>
      <c r="N17" s="173"/>
      <c r="O17" s="51"/>
      <c r="P17" s="173"/>
      <c r="Q17" s="51"/>
      <c r="R17" s="51"/>
      <c r="S17" s="51"/>
      <c r="T17" s="51"/>
      <c r="V17" s="50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ht="12.75">
      <c r="A18" s="394" t="s">
        <v>1236</v>
      </c>
      <c r="B18" s="481">
        <f>IF(A17="","",VLOOKUP($A$17,Data!$A$6:$L$66,4,FALSE))</f>
      </c>
      <c r="C18" s="483"/>
      <c r="D18" s="395" t="s">
        <v>1045</v>
      </c>
      <c r="E18" s="481">
        <f>IF(D17="","",VLOOKUP($D$17,Data!$A$6:$L$66,4,FALSE))</f>
      </c>
      <c r="F18" s="483"/>
      <c r="G18" s="379"/>
      <c r="H18" s="369"/>
      <c r="I18" s="369"/>
      <c r="N18" s="173"/>
      <c r="O18" s="51"/>
      <c r="P18" s="173"/>
      <c r="Q18" s="51"/>
      <c r="R18" s="51"/>
      <c r="S18" s="51"/>
      <c r="T18" s="51"/>
      <c r="V18" s="50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12.75">
      <c r="A19" s="394" t="s">
        <v>1043</v>
      </c>
      <c r="B19" s="482">
        <f>IF(A17="","",VLOOKUP($A$17,Data!$A$6:$L$66,2,FALSE))</f>
      </c>
      <c r="C19" s="483"/>
      <c r="D19" s="395" t="s">
        <v>1043</v>
      </c>
      <c r="E19" s="482">
        <f>IF(D17="","",VLOOKUP($D$17,Data!$A$6:$L$66,2,FALSE))</f>
      </c>
      <c r="F19" s="483"/>
      <c r="G19" s="379"/>
      <c r="H19" s="369"/>
      <c r="I19" s="369"/>
      <c r="N19" s="173"/>
      <c r="O19" s="51"/>
      <c r="P19" s="173"/>
      <c r="Q19" s="51"/>
      <c r="R19" s="51"/>
      <c r="S19" s="51"/>
      <c r="T19" s="51"/>
      <c r="V19" s="50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</row>
    <row r="20" spans="1:255" ht="12.75">
      <c r="A20" s="394" t="s">
        <v>1235</v>
      </c>
      <c r="B20" s="481">
        <f>IF(A17="","",VLOOKUP($A$17,Data!$A$6:$L$66,5,FALSE))</f>
      </c>
      <c r="C20" s="483"/>
      <c r="D20" s="395" t="s">
        <v>42</v>
      </c>
      <c r="E20" s="481">
        <f>IF(D17="","",VLOOKUP($D$17,Data!$A$6:$L$66,5,FALSE))</f>
      </c>
      <c r="F20" s="483"/>
      <c r="G20" s="379"/>
      <c r="H20" s="369"/>
      <c r="I20" s="396"/>
      <c r="J20" s="48"/>
      <c r="N20" s="173"/>
      <c r="O20" s="51"/>
      <c r="P20" s="173"/>
      <c r="Q20" s="51"/>
      <c r="R20" s="51"/>
      <c r="S20" s="51"/>
      <c r="T20" s="51"/>
      <c r="V20" s="50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</row>
    <row r="21" spans="1:255" ht="12.75">
      <c r="A21" s="394" t="s">
        <v>678</v>
      </c>
      <c r="B21" s="481">
        <f>IF(A17="","",VLOOKUP($A$17,Data!$A$6:$L$66,6,FALSE))</f>
      </c>
      <c r="C21" s="483"/>
      <c r="D21" s="395" t="s">
        <v>678</v>
      </c>
      <c r="E21" s="481">
        <f>IF(D17="","",VLOOKUP($D$17,Data!$A$6:$L$66,6,FALSE))</f>
      </c>
      <c r="F21" s="483"/>
      <c r="G21" s="379"/>
      <c r="H21" s="369"/>
      <c r="I21" s="369"/>
      <c r="N21" s="173"/>
      <c r="O21" s="51"/>
      <c r="P21" s="173"/>
      <c r="Q21" s="51"/>
      <c r="R21" s="51"/>
      <c r="S21" s="51"/>
      <c r="T21" s="51"/>
      <c r="V21" s="50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ht="12.75">
      <c r="A22" s="394" t="s">
        <v>665</v>
      </c>
      <c r="B22" s="481">
        <f>IF(A17="","",VLOOKUP($A$17,Data!$A$6:$L$66,7,FALSE))</f>
      </c>
      <c r="C22" s="483"/>
      <c r="D22" s="395" t="s">
        <v>665</v>
      </c>
      <c r="E22" s="481">
        <f>IF(D17="","",VLOOKUP($D$17,Data!$A$6:$L$66,7,FALSE))</f>
      </c>
      <c r="F22" s="483"/>
      <c r="G22" s="379"/>
      <c r="H22" s="369"/>
      <c r="I22" s="369"/>
      <c r="N22" s="173"/>
      <c r="O22" s="51"/>
      <c r="P22" s="173"/>
      <c r="Q22" s="51"/>
      <c r="R22" s="51"/>
      <c r="S22" s="51"/>
      <c r="T22" s="51"/>
      <c r="V22" s="50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12.75">
      <c r="A23" s="394"/>
      <c r="B23" s="482">
        <f>IF(A17="","",VLOOKUP($A$17,Data!$A$6:$L$66,8,FALSE))</f>
      </c>
      <c r="C23" s="483"/>
      <c r="D23" s="395"/>
      <c r="E23" s="482">
        <f>IF(D17="","",VLOOKUP($D$17,Data!$A$6:$L$66,8,FALSE))</f>
      </c>
      <c r="F23" s="483"/>
      <c r="G23" s="379"/>
      <c r="H23" s="369"/>
      <c r="I23" s="369"/>
      <c r="N23" s="173"/>
      <c r="O23" s="51"/>
      <c r="P23" s="173"/>
      <c r="Q23" s="51"/>
      <c r="R23" s="51"/>
      <c r="S23" s="51"/>
      <c r="T23" s="51"/>
      <c r="V23" s="50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</row>
    <row r="24" spans="1:255" ht="12.75">
      <c r="A24" s="394" t="s">
        <v>137</v>
      </c>
      <c r="B24" s="481">
        <f>IF(A17="","",VLOOKUP($A$17,Data!$A$6:$L$66,9,FALSE))</f>
      </c>
      <c r="C24" s="483"/>
      <c r="D24" s="395" t="s">
        <v>137</v>
      </c>
      <c r="E24" s="481">
        <f>IF(D17="","",VLOOKUP($D$17,Data!$A$6:$L$66,9,FALSE))</f>
      </c>
      <c r="F24" s="483"/>
      <c r="G24" s="379"/>
      <c r="H24" s="369"/>
      <c r="I24" s="369"/>
      <c r="N24" s="173"/>
      <c r="O24" s="51"/>
      <c r="P24" s="173"/>
      <c r="Q24" s="51"/>
      <c r="R24" s="51"/>
      <c r="S24" s="51"/>
      <c r="T24" s="51"/>
      <c r="V24" s="50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1:255" ht="12.75">
      <c r="A25" s="394" t="s">
        <v>1008</v>
      </c>
      <c r="B25" s="481">
        <f>IF(A17="","",VLOOKUP($A$17,Data!$A$6:$L$66,10,FALSE))</f>
      </c>
      <c r="C25" s="483"/>
      <c r="D25" s="395" t="s">
        <v>1008</v>
      </c>
      <c r="E25" s="481">
        <f>IF(D17="","",VLOOKUP($D$17,Data!$A$6:$L$66,10,FALSE))</f>
      </c>
      <c r="F25" s="483"/>
      <c r="G25" s="379"/>
      <c r="H25" s="369"/>
      <c r="I25" s="369"/>
      <c r="N25" s="173"/>
      <c r="O25" s="51"/>
      <c r="P25" s="173"/>
      <c r="Q25" s="51"/>
      <c r="R25" s="51"/>
      <c r="S25" s="51"/>
      <c r="T25" s="51"/>
      <c r="V25" s="50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</row>
    <row r="26" spans="1:255" ht="12.75">
      <c r="A26" s="394" t="s">
        <v>1048</v>
      </c>
      <c r="B26" s="481">
        <f>IF(A17="","",VLOOKUP($A$17,Data!$A$6:$L$66,11,FALSE))</f>
      </c>
      <c r="C26" s="483"/>
      <c r="D26" s="395" t="s">
        <v>1048</v>
      </c>
      <c r="E26" s="481">
        <f>IF(D17="","",VLOOKUP($D$17,Data!$A$6:$L$66,11,FALSE))</f>
      </c>
      <c r="F26" s="483"/>
      <c r="G26" s="379"/>
      <c r="H26" s="369"/>
      <c r="I26" s="369"/>
      <c r="N26" s="173"/>
      <c r="O26" s="51"/>
      <c r="P26" s="173"/>
      <c r="Q26" s="51"/>
      <c r="R26" s="51"/>
      <c r="S26" s="51"/>
      <c r="T26" s="51"/>
      <c r="V26" s="50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</row>
    <row r="27" spans="1:255" ht="12.75">
      <c r="A27" s="394" t="s">
        <v>1049</v>
      </c>
      <c r="B27" s="481">
        <f>IF(A17="","",VLOOKUP($A$17,Data!$A$6:$L$66,12,FALSE))</f>
      </c>
      <c r="C27" s="483"/>
      <c r="D27" s="395" t="s">
        <v>1008</v>
      </c>
      <c r="E27" s="481">
        <f>IF(D17="","",VLOOKUP($D$17,Data!$A$6:$L$66,12,FALSE))</f>
      </c>
      <c r="F27" s="483"/>
      <c r="G27" s="379"/>
      <c r="H27" s="369"/>
      <c r="I27" s="369"/>
      <c r="N27" s="173"/>
      <c r="O27" s="51"/>
      <c r="P27" s="173"/>
      <c r="Q27" s="51"/>
      <c r="R27" s="51"/>
      <c r="S27" s="51"/>
      <c r="T27" s="51"/>
      <c r="V27" s="50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</row>
    <row r="28" spans="1:255" ht="13.5" thickBot="1">
      <c r="A28" s="389"/>
      <c r="B28" s="387"/>
      <c r="C28" s="387"/>
      <c r="D28" s="387"/>
      <c r="E28" s="387"/>
      <c r="F28" s="397"/>
      <c r="G28" s="398"/>
      <c r="H28" s="369"/>
      <c r="I28" s="369"/>
      <c r="N28" s="50"/>
      <c r="V28" s="50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</row>
    <row r="29" spans="1:255" ht="15.75">
      <c r="A29" s="399" t="s">
        <v>584</v>
      </c>
      <c r="B29" s="400"/>
      <c r="C29" s="400"/>
      <c r="D29" s="401"/>
      <c r="E29" s="402"/>
      <c r="F29" s="369"/>
      <c r="G29" s="369"/>
      <c r="H29" s="369"/>
      <c r="I29" s="369"/>
      <c r="V29" s="50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</row>
    <row r="30" spans="1:255" ht="12.75">
      <c r="A30" s="403" t="s">
        <v>1034</v>
      </c>
      <c r="B30" s="32"/>
      <c r="C30" s="489"/>
      <c r="D30" s="404"/>
      <c r="E30" s="405"/>
      <c r="F30" s="369"/>
      <c r="G30" s="369"/>
      <c r="H30" s="369"/>
      <c r="I30" s="369"/>
      <c r="V30" s="50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</row>
    <row r="31" spans="1:255" ht="12.75">
      <c r="A31" s="406" t="s">
        <v>1035</v>
      </c>
      <c r="B31" s="32"/>
      <c r="C31" s="489"/>
      <c r="D31" s="404"/>
      <c r="E31" s="405"/>
      <c r="F31" s="369"/>
      <c r="G31" s="369"/>
      <c r="H31" s="369"/>
      <c r="I31" s="369"/>
      <c r="V31" s="50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</row>
    <row r="32" spans="1:255" ht="12.75">
      <c r="A32" s="406" t="s">
        <v>1030</v>
      </c>
      <c r="B32" s="32"/>
      <c r="C32" s="489"/>
      <c r="D32" s="404"/>
      <c r="E32" s="407"/>
      <c r="F32" s="369"/>
      <c r="G32" s="369"/>
      <c r="H32" s="369"/>
      <c r="I32" s="369"/>
      <c r="V32" s="50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</row>
    <row r="33" spans="1:255" ht="12.75">
      <c r="A33" s="406" t="s">
        <v>1036</v>
      </c>
      <c r="B33" s="32"/>
      <c r="C33" s="489"/>
      <c r="D33" s="404"/>
      <c r="E33" s="407"/>
      <c r="F33" s="369"/>
      <c r="G33" s="369"/>
      <c r="H33" s="369"/>
      <c r="I33" s="369"/>
      <c r="V33" s="50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</row>
    <row r="34" spans="1:255" ht="12.75">
      <c r="A34" s="406" t="s">
        <v>1033</v>
      </c>
      <c r="B34" s="32"/>
      <c r="C34" s="489"/>
      <c r="D34" s="404"/>
      <c r="E34" s="407"/>
      <c r="F34" s="369"/>
      <c r="G34" s="369"/>
      <c r="H34" s="369"/>
      <c r="I34" s="369"/>
      <c r="V34" s="50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</row>
    <row r="35" spans="1:255" ht="12.75">
      <c r="A35" s="406" t="s">
        <v>707</v>
      </c>
      <c r="B35" s="32"/>
      <c r="C35" s="489"/>
      <c r="D35" s="404"/>
      <c r="E35" s="405"/>
      <c r="F35" s="369"/>
      <c r="G35" s="369"/>
      <c r="H35" s="369"/>
      <c r="I35" s="369"/>
      <c r="V35" s="50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</row>
    <row r="36" spans="1:255" ht="12.75">
      <c r="A36" s="408" t="s">
        <v>706</v>
      </c>
      <c r="B36" s="123"/>
      <c r="C36" s="489"/>
      <c r="D36" s="404"/>
      <c r="E36" s="405"/>
      <c r="F36" s="369"/>
      <c r="G36" s="369"/>
      <c r="H36" s="369"/>
      <c r="I36" s="369"/>
      <c r="V36" s="50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</row>
    <row r="37" spans="1:255" ht="12.75">
      <c r="A37" s="409" t="s">
        <v>1039</v>
      </c>
      <c r="B37" s="32"/>
      <c r="C37" s="489"/>
      <c r="D37" s="404"/>
      <c r="E37" s="405"/>
      <c r="F37" s="369"/>
      <c r="G37" s="369"/>
      <c r="H37" s="369"/>
      <c r="I37" s="369"/>
      <c r="V37" s="50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</row>
    <row r="38" spans="1:255" ht="13.5" thickBot="1">
      <c r="A38" s="410"/>
      <c r="B38" s="411"/>
      <c r="C38" s="411"/>
      <c r="D38" s="411"/>
      <c r="E38" s="412"/>
      <c r="F38" s="369"/>
      <c r="G38" s="369"/>
      <c r="H38" s="369"/>
      <c r="I38" s="369"/>
      <c r="V38" s="50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</row>
    <row r="39" spans="1:255" ht="15.75">
      <c r="A39" s="413" t="s">
        <v>664</v>
      </c>
      <c r="B39" s="414"/>
      <c r="C39" s="414"/>
      <c r="D39" s="415"/>
      <c r="E39" s="416"/>
      <c r="F39" s="369"/>
      <c r="G39" s="369"/>
      <c r="H39" s="369"/>
      <c r="I39" s="369"/>
      <c r="V39" s="50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</row>
    <row r="40" spans="1:255" ht="12.75">
      <c r="A40" s="417" t="s">
        <v>708</v>
      </c>
      <c r="B40" s="32"/>
      <c r="C40" s="383"/>
      <c r="D40" s="418"/>
      <c r="E40" s="416"/>
      <c r="F40" s="369"/>
      <c r="G40" s="369"/>
      <c r="H40" s="369"/>
      <c r="I40" s="369"/>
      <c r="V40" s="50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</row>
    <row r="41" spans="1:255" ht="12.75">
      <c r="A41" s="419" t="s">
        <v>709</v>
      </c>
      <c r="B41" s="32"/>
      <c r="C41" s="383"/>
      <c r="D41" s="418"/>
      <c r="E41" s="416"/>
      <c r="F41" s="369"/>
      <c r="G41" s="369"/>
      <c r="H41" s="369"/>
      <c r="I41" s="369"/>
      <c r="V41" s="50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</row>
    <row r="42" spans="1:255" ht="12.75">
      <c r="A42" s="419" t="s">
        <v>710</v>
      </c>
      <c r="B42" s="32"/>
      <c r="C42" s="383"/>
      <c r="D42" s="418"/>
      <c r="E42" s="416"/>
      <c r="F42" s="369"/>
      <c r="G42" s="369"/>
      <c r="H42" s="369"/>
      <c r="I42" s="369"/>
      <c r="V42" s="50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</row>
    <row r="43" spans="1:255" ht="12.75">
      <c r="A43" s="419" t="s">
        <v>711</v>
      </c>
      <c r="B43" s="32"/>
      <c r="C43" s="383"/>
      <c r="D43" s="418"/>
      <c r="E43" s="416"/>
      <c r="F43" s="369"/>
      <c r="G43" s="369"/>
      <c r="H43" s="369"/>
      <c r="I43" s="369"/>
      <c r="V43" s="50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</row>
    <row r="44" spans="1:255" ht="12.75">
      <c r="A44" s="419" t="s">
        <v>712</v>
      </c>
      <c r="B44" s="32"/>
      <c r="C44" s="383"/>
      <c r="D44" s="418"/>
      <c r="E44" s="416"/>
      <c r="F44" s="369"/>
      <c r="G44" s="369"/>
      <c r="H44" s="369"/>
      <c r="I44" s="369"/>
      <c r="V44" s="50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</row>
    <row r="45" spans="1:255" ht="12.75">
      <c r="A45" s="419" t="s">
        <v>713</v>
      </c>
      <c r="B45" s="32"/>
      <c r="C45" s="383"/>
      <c r="D45" s="418"/>
      <c r="E45" s="416"/>
      <c r="F45" s="369"/>
      <c r="G45" s="369"/>
      <c r="H45" s="369"/>
      <c r="I45" s="369"/>
      <c r="V45" s="50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</row>
    <row r="46" spans="1:255" ht="12.75">
      <c r="A46" s="420"/>
      <c r="B46" s="32"/>
      <c r="C46" s="383"/>
      <c r="D46" s="418"/>
      <c r="E46" s="416"/>
      <c r="F46" s="369"/>
      <c r="G46" s="369"/>
      <c r="H46" s="369"/>
      <c r="I46" s="369"/>
      <c r="V46" s="50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</row>
    <row r="47" spans="1:255" ht="12.75">
      <c r="A47" s="421"/>
      <c r="B47" s="414" t="s">
        <v>1040</v>
      </c>
      <c r="C47" s="414"/>
      <c r="D47" s="415"/>
      <c r="E47" s="416"/>
      <c r="F47" s="369"/>
      <c r="G47" s="369"/>
      <c r="H47" s="369"/>
      <c r="I47" s="369"/>
      <c r="V47" s="50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</row>
    <row r="48" spans="1:255" ht="13.5" thickBot="1">
      <c r="A48" s="422"/>
      <c r="B48" s="423"/>
      <c r="C48" s="423"/>
      <c r="D48" s="423"/>
      <c r="E48" s="424"/>
      <c r="F48" s="369"/>
      <c r="G48" s="369"/>
      <c r="H48" s="369"/>
      <c r="I48" s="369"/>
      <c r="V48" s="50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</row>
    <row r="49" spans="1:255" ht="15.75">
      <c r="A49" s="425" t="s">
        <v>680</v>
      </c>
      <c r="B49" s="426"/>
      <c r="C49" s="426"/>
      <c r="D49" s="426"/>
      <c r="E49" s="426"/>
      <c r="F49" s="426"/>
      <c r="G49" s="427"/>
      <c r="H49" s="369"/>
      <c r="I49" s="369"/>
      <c r="V49" s="50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</row>
    <row r="50" spans="1:255" ht="12.75">
      <c r="A50" s="53"/>
      <c r="B50" s="490"/>
      <c r="C50" s="490"/>
      <c r="D50" s="490"/>
      <c r="E50" s="490"/>
      <c r="F50" s="491"/>
      <c r="G50" s="428"/>
      <c r="H50" s="369"/>
      <c r="I50" s="369"/>
      <c r="V50" s="50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</row>
    <row r="51" spans="1:255" ht="12.75">
      <c r="A51" s="53"/>
      <c r="B51" s="490"/>
      <c r="C51" s="490"/>
      <c r="D51" s="490"/>
      <c r="E51" s="490"/>
      <c r="F51" s="491"/>
      <c r="G51" s="428"/>
      <c r="H51" s="369"/>
      <c r="I51" s="369"/>
      <c r="V51" s="50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</row>
    <row r="52" spans="1:255" ht="12.75">
      <c r="A52" s="53"/>
      <c r="B52" s="490"/>
      <c r="C52" s="490"/>
      <c r="D52" s="490"/>
      <c r="E52" s="490"/>
      <c r="F52" s="491"/>
      <c r="G52" s="428"/>
      <c r="H52" s="369"/>
      <c r="I52" s="369"/>
      <c r="V52" s="50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</row>
    <row r="53" spans="1:255" ht="12.75">
      <c r="A53" s="53"/>
      <c r="B53" s="490"/>
      <c r="C53" s="490"/>
      <c r="D53" s="490"/>
      <c r="E53" s="490"/>
      <c r="F53" s="491"/>
      <c r="G53" s="428"/>
      <c r="H53" s="369"/>
      <c r="I53" s="369"/>
      <c r="V53" s="50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</row>
    <row r="54" spans="1:255" ht="12.75">
      <c r="A54" s="53"/>
      <c r="B54" s="490"/>
      <c r="C54" s="490"/>
      <c r="D54" s="490"/>
      <c r="E54" s="490"/>
      <c r="F54" s="491"/>
      <c r="G54" s="429"/>
      <c r="H54" s="369"/>
      <c r="I54" s="369"/>
      <c r="V54" s="50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</row>
    <row r="55" spans="1:255" ht="12.75">
      <c r="A55" s="53"/>
      <c r="B55" s="490"/>
      <c r="C55" s="490"/>
      <c r="D55" s="490"/>
      <c r="E55" s="490"/>
      <c r="F55" s="491"/>
      <c r="G55" s="429"/>
      <c r="H55" s="369"/>
      <c r="I55" s="369"/>
      <c r="V55" s="50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</row>
    <row r="56" spans="1:255" ht="12.75">
      <c r="A56" s="53"/>
      <c r="B56" s="490"/>
      <c r="C56" s="490"/>
      <c r="D56" s="490"/>
      <c r="E56" s="490"/>
      <c r="F56" s="491"/>
      <c r="G56" s="429"/>
      <c r="H56" s="369"/>
      <c r="I56" s="369"/>
      <c r="V56" s="50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</row>
    <row r="57" spans="1:255" ht="12.75">
      <c r="A57" s="53"/>
      <c r="B57" s="490"/>
      <c r="C57" s="490"/>
      <c r="D57" s="490"/>
      <c r="E57" s="490"/>
      <c r="F57" s="491"/>
      <c r="G57" s="429"/>
      <c r="H57" s="369"/>
      <c r="I57" s="369"/>
      <c r="N57" s="50"/>
      <c r="V57" s="50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</row>
    <row r="58" spans="1:255" ht="12.75">
      <c r="A58" s="53"/>
      <c r="B58" s="490"/>
      <c r="C58" s="490"/>
      <c r="D58" s="490"/>
      <c r="E58" s="490"/>
      <c r="F58" s="491"/>
      <c r="G58" s="429"/>
      <c r="H58" s="369"/>
      <c r="I58" s="369"/>
      <c r="N58" s="50"/>
      <c r="V58" s="50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</row>
    <row r="59" spans="1:255" ht="12.75">
      <c r="A59" s="53"/>
      <c r="B59" s="490"/>
      <c r="C59" s="490"/>
      <c r="D59" s="490"/>
      <c r="E59" s="490"/>
      <c r="F59" s="491"/>
      <c r="G59" s="429"/>
      <c r="H59" s="369"/>
      <c r="I59" s="369"/>
      <c r="N59" s="50"/>
      <c r="O59" s="50"/>
      <c r="P59" s="50"/>
      <c r="Q59" s="50"/>
      <c r="R59" s="50"/>
      <c r="S59" s="50"/>
      <c r="T59" s="50"/>
      <c r="U59" s="50"/>
      <c r="V59" s="50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</row>
    <row r="60" spans="1:255" ht="12.75">
      <c r="A60" s="53"/>
      <c r="B60" s="490"/>
      <c r="C60" s="490"/>
      <c r="D60" s="490"/>
      <c r="E60" s="490"/>
      <c r="F60" s="491"/>
      <c r="G60" s="429"/>
      <c r="H60" s="369"/>
      <c r="I60" s="369"/>
      <c r="N60" s="50"/>
      <c r="O60" s="50"/>
      <c r="P60" s="50"/>
      <c r="Q60" s="50"/>
      <c r="R60" s="50"/>
      <c r="S60" s="50"/>
      <c r="T60" s="50"/>
      <c r="U60" s="50"/>
      <c r="V60" s="50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</row>
    <row r="61" spans="1:255" ht="12.75">
      <c r="A61" s="53"/>
      <c r="B61" s="490"/>
      <c r="C61" s="490"/>
      <c r="D61" s="490"/>
      <c r="E61" s="490"/>
      <c r="F61" s="491"/>
      <c r="G61" s="429"/>
      <c r="H61" s="369"/>
      <c r="I61" s="369"/>
      <c r="N61" s="50"/>
      <c r="O61" s="50"/>
      <c r="P61" s="50"/>
      <c r="Q61" s="50"/>
      <c r="R61" s="50"/>
      <c r="S61" s="50"/>
      <c r="T61" s="50"/>
      <c r="U61" s="50"/>
      <c r="V61" s="50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</row>
    <row r="62" spans="1:255" ht="13.5" thickBot="1">
      <c r="A62" s="430"/>
      <c r="B62" s="431"/>
      <c r="C62" s="431"/>
      <c r="D62" s="431"/>
      <c r="E62" s="431"/>
      <c r="F62" s="431"/>
      <c r="G62" s="432"/>
      <c r="H62" s="396"/>
      <c r="I62" s="369"/>
      <c r="N62" s="50"/>
      <c r="O62" s="50"/>
      <c r="P62" s="50"/>
      <c r="Q62" s="50"/>
      <c r="R62" s="50"/>
      <c r="S62" s="50"/>
      <c r="T62" s="50"/>
      <c r="U62" s="50"/>
      <c r="V62" s="50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</row>
    <row r="63" spans="1:255" ht="15.75">
      <c r="A63" s="433" t="s">
        <v>662</v>
      </c>
      <c r="B63" s="434"/>
      <c r="C63" s="434"/>
      <c r="D63" s="434"/>
      <c r="E63" s="435"/>
      <c r="F63" s="436"/>
      <c r="G63" s="396"/>
      <c r="H63" s="396"/>
      <c r="I63" s="369"/>
      <c r="N63" s="50"/>
      <c r="O63" s="50"/>
      <c r="P63" s="50"/>
      <c r="Q63" s="50"/>
      <c r="R63" s="50"/>
      <c r="S63" s="50"/>
      <c r="T63" s="50"/>
      <c r="U63" s="50"/>
      <c r="V63" s="50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</row>
    <row r="64" spans="1:255" ht="12.75">
      <c r="A64" s="437" t="s">
        <v>687</v>
      </c>
      <c r="B64" s="438">
        <v>1</v>
      </c>
      <c r="C64" s="26"/>
      <c r="D64" s="439">
        <v>5</v>
      </c>
      <c r="E64" s="26"/>
      <c r="F64" s="436"/>
      <c r="G64" s="369"/>
      <c r="H64" s="396"/>
      <c r="I64" s="369"/>
      <c r="N64" s="50"/>
      <c r="O64" s="50"/>
      <c r="P64" s="50"/>
      <c r="Q64" s="50"/>
      <c r="R64" s="50"/>
      <c r="S64" s="50"/>
      <c r="T64" s="50"/>
      <c r="U64" s="50"/>
      <c r="V64" s="50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</row>
    <row r="65" spans="1:255" ht="12.75">
      <c r="A65" s="440"/>
      <c r="B65" s="438">
        <v>2</v>
      </c>
      <c r="C65" s="26"/>
      <c r="D65" s="439">
        <v>6</v>
      </c>
      <c r="E65" s="26"/>
      <c r="F65" s="436"/>
      <c r="G65" s="369"/>
      <c r="H65" s="396"/>
      <c r="I65" s="369"/>
      <c r="N65" s="50"/>
      <c r="O65" s="50"/>
      <c r="P65" s="50"/>
      <c r="Q65" s="50"/>
      <c r="R65" s="50"/>
      <c r="S65" s="50"/>
      <c r="T65" s="50"/>
      <c r="U65" s="50"/>
      <c r="V65" s="50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</row>
    <row r="66" spans="1:255" ht="12.75">
      <c r="A66" s="440"/>
      <c r="B66" s="438">
        <v>3</v>
      </c>
      <c r="C66" s="26"/>
      <c r="D66" s="439">
        <v>7</v>
      </c>
      <c r="E66" s="26"/>
      <c r="F66" s="436"/>
      <c r="G66" s="369"/>
      <c r="H66" s="396"/>
      <c r="I66" s="369"/>
      <c r="N66" s="50"/>
      <c r="O66" s="50"/>
      <c r="P66" s="50"/>
      <c r="Q66" s="50"/>
      <c r="R66" s="50"/>
      <c r="S66" s="50"/>
      <c r="T66" s="50"/>
      <c r="U66" s="50"/>
      <c r="V66" s="50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</row>
    <row r="67" spans="1:255" ht="12.75">
      <c r="A67" s="441"/>
      <c r="B67" s="438">
        <v>4</v>
      </c>
      <c r="C67" s="26"/>
      <c r="D67" s="442">
        <v>8</v>
      </c>
      <c r="E67" s="26"/>
      <c r="F67" s="436"/>
      <c r="G67" s="369"/>
      <c r="H67" s="396"/>
      <c r="I67" s="369"/>
      <c r="N67" s="50"/>
      <c r="O67" s="50"/>
      <c r="P67" s="50"/>
      <c r="Q67" s="50"/>
      <c r="R67" s="50"/>
      <c r="S67" s="50"/>
      <c r="T67" s="50"/>
      <c r="U67" s="50"/>
      <c r="V67" s="50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</row>
    <row r="68" spans="1:255" ht="12.75">
      <c r="A68" s="443" t="s">
        <v>1017</v>
      </c>
      <c r="B68" s="56"/>
      <c r="C68" s="444"/>
      <c r="D68" s="445"/>
      <c r="E68" s="435"/>
      <c r="F68" s="436"/>
      <c r="G68" s="369"/>
      <c r="H68" s="396"/>
      <c r="I68" s="369"/>
      <c r="N68" s="50"/>
      <c r="O68" s="50"/>
      <c r="P68" s="50"/>
      <c r="Q68" s="50"/>
      <c r="R68" s="50"/>
      <c r="S68" s="50"/>
      <c r="T68" s="50"/>
      <c r="U68" s="50"/>
      <c r="V68" s="50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</row>
    <row r="69" spans="1:255" ht="12.75">
      <c r="A69" s="446" t="s">
        <v>1018</v>
      </c>
      <c r="B69" s="30"/>
      <c r="C69" s="434"/>
      <c r="D69" s="434"/>
      <c r="E69" s="435"/>
      <c r="F69" s="436"/>
      <c r="G69" s="369"/>
      <c r="H69" s="396"/>
      <c r="I69" s="369"/>
      <c r="N69" s="50"/>
      <c r="O69" s="50"/>
      <c r="P69" s="50"/>
      <c r="Q69" s="50"/>
      <c r="R69" s="50"/>
      <c r="S69" s="50"/>
      <c r="T69" s="50"/>
      <c r="U69" s="50"/>
      <c r="V69" s="50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</row>
    <row r="70" spans="1:255" ht="12.75">
      <c r="A70" s="446" t="s">
        <v>1019</v>
      </c>
      <c r="B70" s="30"/>
      <c r="C70" s="434"/>
      <c r="D70" s="434"/>
      <c r="E70" s="435"/>
      <c r="F70" s="436"/>
      <c r="G70" s="369"/>
      <c r="H70" s="396"/>
      <c r="I70" s="369"/>
      <c r="N70" s="50"/>
      <c r="O70" s="50"/>
      <c r="P70" s="50"/>
      <c r="Q70" s="50"/>
      <c r="R70" s="50"/>
      <c r="S70" s="50"/>
      <c r="T70" s="50"/>
      <c r="U70" s="50"/>
      <c r="V70" s="50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</row>
    <row r="71" spans="1:255" ht="12.75">
      <c r="A71" s="446" t="s">
        <v>1020</v>
      </c>
      <c r="B71" s="30"/>
      <c r="C71" s="434"/>
      <c r="D71" s="434"/>
      <c r="E71" s="435"/>
      <c r="F71" s="436"/>
      <c r="G71" s="369"/>
      <c r="H71" s="396"/>
      <c r="I71" s="369"/>
      <c r="N71" s="50"/>
      <c r="O71" s="50"/>
      <c r="P71" s="50"/>
      <c r="Q71" s="50"/>
      <c r="R71" s="50"/>
      <c r="S71" s="50"/>
      <c r="T71" s="50"/>
      <c r="U71" s="50"/>
      <c r="V71" s="50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</row>
    <row r="72" spans="1:22" ht="12.75">
      <c r="A72" s="446" t="s">
        <v>1021</v>
      </c>
      <c r="B72" s="30"/>
      <c r="C72" s="434"/>
      <c r="D72" s="434"/>
      <c r="E72" s="435"/>
      <c r="F72" s="436"/>
      <c r="G72" s="369"/>
      <c r="H72" s="369"/>
      <c r="I72" s="369"/>
      <c r="O72" s="50"/>
      <c r="P72" s="50"/>
      <c r="Q72" s="50"/>
      <c r="R72" s="50"/>
      <c r="S72" s="50"/>
      <c r="T72" s="50"/>
      <c r="U72" s="50"/>
      <c r="V72" s="50"/>
    </row>
    <row r="73" spans="1:22" ht="12.75">
      <c r="A73" s="446" t="s">
        <v>1022</v>
      </c>
      <c r="B73" s="30"/>
      <c r="C73" s="434"/>
      <c r="D73" s="434"/>
      <c r="E73" s="435"/>
      <c r="F73" s="436"/>
      <c r="G73" s="369"/>
      <c r="H73" s="369"/>
      <c r="I73" s="369"/>
      <c r="O73" s="50"/>
      <c r="P73" s="50"/>
      <c r="Q73" s="50"/>
      <c r="R73" s="50"/>
      <c r="S73" s="50"/>
      <c r="T73" s="50"/>
      <c r="U73" s="50"/>
      <c r="V73" s="50"/>
    </row>
    <row r="74" spans="1:22" ht="12.75">
      <c r="A74" s="447" t="s">
        <v>1023</v>
      </c>
      <c r="B74" s="188"/>
      <c r="C74" s="434"/>
      <c r="D74" s="434"/>
      <c r="E74" s="435"/>
      <c r="F74" s="436"/>
      <c r="G74" s="369"/>
      <c r="H74" s="369"/>
      <c r="I74" s="369"/>
      <c r="O74" s="50"/>
      <c r="P74" s="50"/>
      <c r="Q74" s="50"/>
      <c r="R74" s="50"/>
      <c r="S74" s="50"/>
      <c r="T74" s="50"/>
      <c r="U74" s="50"/>
      <c r="V74" s="50"/>
    </row>
    <row r="75" spans="1:22" ht="12.75">
      <c r="A75" s="448"/>
      <c r="B75" s="449"/>
      <c r="C75" s="434"/>
      <c r="D75" s="434"/>
      <c r="E75" s="435"/>
      <c r="F75" s="436"/>
      <c r="G75" s="369"/>
      <c r="H75" s="369"/>
      <c r="I75" s="369"/>
      <c r="O75" s="50"/>
      <c r="P75" s="50"/>
      <c r="Q75" s="50"/>
      <c r="R75" s="50"/>
      <c r="S75" s="50"/>
      <c r="T75" s="50"/>
      <c r="U75" s="50"/>
      <c r="V75" s="50"/>
    </row>
    <row r="76" spans="1:22" ht="12.75">
      <c r="A76" s="450" t="s">
        <v>667</v>
      </c>
      <c r="B76" s="451"/>
      <c r="C76" s="452"/>
      <c r="D76" s="435"/>
      <c r="E76" s="435"/>
      <c r="F76" s="436"/>
      <c r="G76" s="369"/>
      <c r="H76" s="369"/>
      <c r="I76" s="369"/>
      <c r="O76" s="50"/>
      <c r="P76" s="50"/>
      <c r="Q76" s="50"/>
      <c r="R76" s="50"/>
      <c r="S76" s="50"/>
      <c r="T76" s="50"/>
      <c r="U76" s="50"/>
      <c r="V76" s="50"/>
    </row>
    <row r="77" spans="1:22" ht="12.75">
      <c r="A77" s="453" t="s">
        <v>1025</v>
      </c>
      <c r="B77" s="454" t="s">
        <v>668</v>
      </c>
      <c r="C77" s="455" t="s">
        <v>1026</v>
      </c>
      <c r="D77" s="434"/>
      <c r="E77" s="435"/>
      <c r="F77" s="436"/>
      <c r="G77" s="369"/>
      <c r="H77" s="369"/>
      <c r="I77" s="369"/>
      <c r="O77" s="50"/>
      <c r="P77" s="50"/>
      <c r="Q77" s="50"/>
      <c r="R77" s="50"/>
      <c r="S77" s="50"/>
      <c r="T77" s="50"/>
      <c r="U77" s="50"/>
      <c r="V77" s="50"/>
    </row>
    <row r="78" spans="1:22" ht="12.75">
      <c r="A78" s="453" t="s">
        <v>1027</v>
      </c>
      <c r="B78" s="456" t="s">
        <v>561</v>
      </c>
      <c r="C78" s="457">
        <f>+$E$6</f>
      </c>
      <c r="D78" s="434"/>
      <c r="E78" s="435"/>
      <c r="F78" s="436"/>
      <c r="G78" s="369"/>
      <c r="H78" s="369"/>
      <c r="I78" s="369"/>
      <c r="O78" s="50"/>
      <c r="P78" s="50"/>
      <c r="Q78" s="50"/>
      <c r="R78" s="50"/>
      <c r="S78" s="50"/>
      <c r="T78" s="50"/>
      <c r="U78" s="50"/>
      <c r="V78" s="50"/>
    </row>
    <row r="79" spans="1:22" ht="12.75">
      <c r="A79" s="47"/>
      <c r="B79" s="25"/>
      <c r="C79" s="25"/>
      <c r="D79" s="434"/>
      <c r="E79" s="435"/>
      <c r="F79" s="436"/>
      <c r="G79" s="369"/>
      <c r="H79" s="369"/>
      <c r="I79" s="369"/>
      <c r="O79" s="50"/>
      <c r="P79" s="50"/>
      <c r="Q79" s="50"/>
      <c r="R79" s="50"/>
      <c r="S79" s="50"/>
      <c r="T79" s="50"/>
      <c r="U79" s="50"/>
      <c r="V79" s="50"/>
    </row>
    <row r="80" spans="1:22" ht="12.75">
      <c r="A80" s="47"/>
      <c r="B80" s="25"/>
      <c r="C80" s="25"/>
      <c r="D80" s="434"/>
      <c r="E80" s="435"/>
      <c r="F80" s="458"/>
      <c r="G80" s="369"/>
      <c r="H80" s="369"/>
      <c r="I80" s="369"/>
      <c r="O80" s="50"/>
      <c r="P80" s="50"/>
      <c r="Q80" s="50"/>
      <c r="R80" s="50"/>
      <c r="S80" s="50"/>
      <c r="T80" s="50"/>
      <c r="U80" s="50"/>
      <c r="V80" s="50"/>
    </row>
    <row r="81" spans="1:22" ht="12.75">
      <c r="A81" s="47"/>
      <c r="B81" s="25"/>
      <c r="C81" s="25"/>
      <c r="D81" s="434"/>
      <c r="E81" s="435"/>
      <c r="F81" s="458"/>
      <c r="G81" s="369"/>
      <c r="H81" s="369"/>
      <c r="I81" s="369"/>
      <c r="O81" s="50"/>
      <c r="P81" s="50"/>
      <c r="Q81" s="50"/>
      <c r="R81" s="50"/>
      <c r="S81" s="50"/>
      <c r="T81" s="50"/>
      <c r="U81" s="50"/>
      <c r="V81" s="50"/>
    </row>
    <row r="82" spans="1:22" ht="12.75">
      <c r="A82" s="47"/>
      <c r="B82" s="25"/>
      <c r="C82" s="25"/>
      <c r="D82" s="434"/>
      <c r="E82" s="435"/>
      <c r="F82" s="458"/>
      <c r="G82" s="369"/>
      <c r="H82" s="369"/>
      <c r="I82" s="369"/>
      <c r="O82" s="50"/>
      <c r="P82" s="50"/>
      <c r="Q82" s="50"/>
      <c r="R82" s="50"/>
      <c r="S82" s="50"/>
      <c r="T82" s="50"/>
      <c r="U82" s="50"/>
      <c r="V82" s="50"/>
    </row>
    <row r="83" spans="1:22" ht="12.75">
      <c r="A83" s="47"/>
      <c r="B83" s="25"/>
      <c r="C83" s="25"/>
      <c r="D83" s="434"/>
      <c r="E83" s="435"/>
      <c r="F83" s="458"/>
      <c r="G83" s="369"/>
      <c r="H83" s="369"/>
      <c r="I83" s="369"/>
      <c r="O83" s="50"/>
      <c r="P83" s="50"/>
      <c r="Q83" s="50"/>
      <c r="R83" s="50"/>
      <c r="S83" s="50"/>
      <c r="T83" s="50"/>
      <c r="U83" s="50"/>
      <c r="V83" s="50"/>
    </row>
    <row r="84" spans="1:22" ht="12.75">
      <c r="A84" s="47"/>
      <c r="B84" s="25"/>
      <c r="C84" s="25"/>
      <c r="D84" s="434"/>
      <c r="E84" s="435"/>
      <c r="F84" s="458"/>
      <c r="G84" s="369"/>
      <c r="H84" s="369"/>
      <c r="I84" s="369"/>
      <c r="O84" s="50"/>
      <c r="P84" s="50"/>
      <c r="Q84" s="50"/>
      <c r="R84" s="50"/>
      <c r="S84" s="50"/>
      <c r="T84" s="50"/>
      <c r="U84" s="50"/>
      <c r="V84" s="50"/>
    </row>
    <row r="85" spans="1:22" ht="12.75">
      <c r="A85" s="47"/>
      <c r="B85" s="25"/>
      <c r="C85" s="25"/>
      <c r="D85" s="434"/>
      <c r="E85" s="435"/>
      <c r="F85" s="458"/>
      <c r="G85" s="369"/>
      <c r="H85" s="369"/>
      <c r="I85" s="369"/>
      <c r="O85" s="50"/>
      <c r="P85" s="50"/>
      <c r="Q85" s="50"/>
      <c r="R85" s="50"/>
      <c r="S85" s="50"/>
      <c r="T85" s="50"/>
      <c r="U85" s="50"/>
      <c r="V85" s="50"/>
    </row>
    <row r="86" spans="1:22" ht="12.75">
      <c r="A86" s="47"/>
      <c r="B86" s="25"/>
      <c r="C86" s="25"/>
      <c r="D86" s="434"/>
      <c r="E86" s="435"/>
      <c r="F86" s="458"/>
      <c r="G86" s="369"/>
      <c r="H86" s="369"/>
      <c r="I86" s="369"/>
      <c r="O86" s="50"/>
      <c r="P86" s="50"/>
      <c r="Q86" s="50"/>
      <c r="R86" s="50"/>
      <c r="S86" s="50"/>
      <c r="T86" s="50"/>
      <c r="U86" s="50"/>
      <c r="V86" s="50"/>
    </row>
    <row r="87" spans="1:22" ht="12.75">
      <c r="A87" s="459" t="s">
        <v>1028</v>
      </c>
      <c r="B87" s="45">
        <f>IF(B79="","",SUM(B79:B86))</f>
      </c>
      <c r="C87" s="45">
        <f>IF(C79="","",SUM(C79:C86))</f>
      </c>
      <c r="D87" s="435"/>
      <c r="E87" s="435"/>
      <c r="F87" s="458"/>
      <c r="G87" s="369"/>
      <c r="H87" s="369"/>
      <c r="I87" s="369"/>
      <c r="O87" s="50"/>
      <c r="P87" s="50"/>
      <c r="Q87" s="50"/>
      <c r="R87" s="50"/>
      <c r="S87" s="50"/>
      <c r="T87" s="50"/>
      <c r="U87" s="50"/>
      <c r="V87" s="50"/>
    </row>
    <row r="88" spans="1:22" ht="12.75">
      <c r="A88" s="460" t="s">
        <v>670</v>
      </c>
      <c r="B88" s="55"/>
      <c r="C88" s="492"/>
      <c r="D88" s="434"/>
      <c r="E88" s="435"/>
      <c r="F88" s="458"/>
      <c r="G88" s="369"/>
      <c r="H88" s="369"/>
      <c r="I88" s="369"/>
      <c r="O88" s="50"/>
      <c r="P88" s="50"/>
      <c r="Q88" s="50"/>
      <c r="R88" s="50"/>
      <c r="S88" s="50"/>
      <c r="T88" s="50"/>
      <c r="U88" s="50"/>
      <c r="V88" s="50"/>
    </row>
    <row r="89" spans="1:22" ht="13.5" thickBot="1">
      <c r="A89" s="460" t="s">
        <v>671</v>
      </c>
      <c r="B89" s="28"/>
      <c r="C89" s="491"/>
      <c r="D89" s="461"/>
      <c r="E89" s="462"/>
      <c r="F89" s="463"/>
      <c r="G89" s="369"/>
      <c r="H89" s="369"/>
      <c r="I89" s="369"/>
      <c r="O89" s="50"/>
      <c r="P89" s="50"/>
      <c r="Q89" s="50"/>
      <c r="R89" s="50"/>
      <c r="S89" s="50"/>
      <c r="T89" s="50"/>
      <c r="U89" s="50"/>
      <c r="V89" s="50"/>
    </row>
    <row r="90" spans="1:22" ht="15.75">
      <c r="A90" s="464" t="s">
        <v>688</v>
      </c>
      <c r="B90" s="465" t="s">
        <v>1031</v>
      </c>
      <c r="C90" s="465" t="s">
        <v>683</v>
      </c>
      <c r="D90" s="466"/>
      <c r="E90" s="369"/>
      <c r="F90" s="396"/>
      <c r="G90" s="369"/>
      <c r="H90" s="369"/>
      <c r="I90" s="369"/>
      <c r="O90" s="50"/>
      <c r="P90" s="50"/>
      <c r="Q90" s="50"/>
      <c r="R90" s="50"/>
      <c r="S90" s="50"/>
      <c r="T90" s="50"/>
      <c r="U90" s="50"/>
      <c r="V90" s="50"/>
    </row>
    <row r="91" spans="1:22" ht="12.75">
      <c r="A91" s="467" t="s">
        <v>700</v>
      </c>
      <c r="B91" s="27"/>
      <c r="C91" s="468"/>
      <c r="D91" s="469"/>
      <c r="E91" s="369"/>
      <c r="F91" s="396"/>
      <c r="G91" s="369"/>
      <c r="H91" s="369"/>
      <c r="I91" s="369"/>
      <c r="O91" s="50"/>
      <c r="P91" s="50"/>
      <c r="Q91" s="50"/>
      <c r="R91" s="50"/>
      <c r="S91" s="50"/>
      <c r="T91" s="50"/>
      <c r="U91" s="50"/>
      <c r="V91" s="50"/>
    </row>
    <row r="92" spans="1:22" ht="12.75">
      <c r="A92" s="470" t="s">
        <v>701</v>
      </c>
      <c r="B92" s="27"/>
      <c r="C92" s="471">
        <f>IF(B91="","",B92-B91)</f>
      </c>
      <c r="D92" s="469"/>
      <c r="E92" s="369"/>
      <c r="F92" s="396"/>
      <c r="G92" s="396"/>
      <c r="H92" s="369"/>
      <c r="I92" s="369"/>
      <c r="O92" s="50"/>
      <c r="P92" s="50"/>
      <c r="Q92" s="50"/>
      <c r="R92" s="50"/>
      <c r="S92" s="50"/>
      <c r="T92" s="50"/>
      <c r="U92" s="50"/>
      <c r="V92" s="50"/>
    </row>
    <row r="93" spans="1:22" ht="12.75">
      <c r="A93" s="470" t="s">
        <v>702</v>
      </c>
      <c r="B93" s="27"/>
      <c r="C93" s="472">
        <f>IF(B91="","",B93-B92)</f>
      </c>
      <c r="D93" s="469"/>
      <c r="E93" s="369"/>
      <c r="F93" s="396"/>
      <c r="G93" s="396"/>
      <c r="H93" s="369"/>
      <c r="I93" s="369"/>
      <c r="O93" s="50"/>
      <c r="P93" s="50"/>
      <c r="Q93" s="50"/>
      <c r="R93" s="50"/>
      <c r="S93" s="50"/>
      <c r="T93" s="50"/>
      <c r="U93" s="50"/>
      <c r="V93" s="50"/>
    </row>
    <row r="94" spans="1:22" ht="12.75">
      <c r="A94" s="470" t="s">
        <v>703</v>
      </c>
      <c r="B94" s="27"/>
      <c r="C94" s="472">
        <f>IF(B91="","",B93-B94)</f>
      </c>
      <c r="D94" s="469"/>
      <c r="E94" s="369"/>
      <c r="F94" s="396"/>
      <c r="G94" s="396"/>
      <c r="H94" s="369"/>
      <c r="I94" s="369"/>
      <c r="O94" s="50"/>
      <c r="P94" s="50"/>
      <c r="Q94" s="50"/>
      <c r="R94" s="50"/>
      <c r="S94" s="50"/>
      <c r="T94" s="50"/>
      <c r="U94" s="50"/>
      <c r="V94" s="50"/>
    </row>
    <row r="95" spans="1:22" ht="12.75">
      <c r="A95" s="473" t="s">
        <v>704</v>
      </c>
      <c r="B95" s="27"/>
      <c r="C95" s="472"/>
      <c r="D95" s="469"/>
      <c r="E95" s="369"/>
      <c r="F95" s="396"/>
      <c r="G95" s="396"/>
      <c r="H95" s="369"/>
      <c r="I95" s="369"/>
      <c r="O95" s="50"/>
      <c r="P95" s="50"/>
      <c r="Q95" s="50"/>
      <c r="R95" s="50"/>
      <c r="S95" s="50"/>
      <c r="T95" s="50"/>
      <c r="U95" s="50"/>
      <c r="V95" s="50"/>
    </row>
    <row r="96" spans="1:22" ht="12.75">
      <c r="A96" s="474" t="s">
        <v>705</v>
      </c>
      <c r="B96" s="27"/>
      <c r="C96" s="475">
        <f>IF(B91="","",B93-B96)</f>
      </c>
      <c r="D96" s="469"/>
      <c r="E96" s="369"/>
      <c r="F96" s="396"/>
      <c r="G96" s="396"/>
      <c r="H96" s="369"/>
      <c r="I96" s="369"/>
      <c r="O96" s="50"/>
      <c r="P96" s="50"/>
      <c r="Q96" s="50"/>
      <c r="R96" s="50"/>
      <c r="S96" s="50"/>
      <c r="T96" s="50"/>
      <c r="U96" s="50"/>
      <c r="V96" s="50"/>
    </row>
    <row r="97" spans="1:22" ht="13.5" thickBot="1">
      <c r="A97" s="476"/>
      <c r="B97" s="477" t="s">
        <v>1032</v>
      </c>
      <c r="C97" s="478"/>
      <c r="D97" s="479"/>
      <c r="E97" s="369"/>
      <c r="F97" s="396"/>
      <c r="G97" s="396"/>
      <c r="H97" s="369"/>
      <c r="I97" s="369"/>
      <c r="O97" s="50"/>
      <c r="P97" s="50"/>
      <c r="Q97" s="50"/>
      <c r="R97" s="50"/>
      <c r="S97" s="50"/>
      <c r="T97" s="50"/>
      <c r="U97" s="50"/>
      <c r="V97" s="50"/>
    </row>
    <row r="98" spans="1:22" ht="12.75">
      <c r="A98" s="369"/>
      <c r="B98" s="369"/>
      <c r="C98" s="369"/>
      <c r="D98" s="369"/>
      <c r="E98" s="369"/>
      <c r="F98" s="369"/>
      <c r="G98" s="396"/>
      <c r="H98" s="369"/>
      <c r="I98" s="369"/>
      <c r="O98" s="50"/>
      <c r="P98" s="50"/>
      <c r="Q98" s="50"/>
      <c r="R98" s="50"/>
      <c r="S98" s="50"/>
      <c r="T98" s="50"/>
      <c r="U98" s="50"/>
      <c r="V98" s="50"/>
    </row>
    <row r="99" spans="1:22" ht="12.75">
      <c r="A99" s="369"/>
      <c r="B99" s="369"/>
      <c r="C99" s="369"/>
      <c r="D99" s="369"/>
      <c r="E99" s="369"/>
      <c r="F99" s="369"/>
      <c r="G99" s="396"/>
      <c r="H99" s="369"/>
      <c r="I99" s="369"/>
      <c r="O99" s="50"/>
      <c r="P99" s="50"/>
      <c r="Q99" s="50"/>
      <c r="R99" s="50"/>
      <c r="S99" s="50"/>
      <c r="T99" s="50"/>
      <c r="U99" s="50"/>
      <c r="V99" s="50"/>
    </row>
    <row r="100" spans="15:18" ht="12.75">
      <c r="O100" s="50"/>
      <c r="P100" s="50"/>
      <c r="Q100" s="50"/>
      <c r="R100" s="50"/>
    </row>
    <row r="101" spans="15:18" ht="12.75">
      <c r="O101" s="50"/>
      <c r="P101" s="50"/>
      <c r="Q101" s="50"/>
      <c r="R101" s="50"/>
    </row>
    <row r="102" spans="15:18" ht="12.75">
      <c r="O102" s="50"/>
      <c r="P102" s="50"/>
      <c r="Q102" s="50"/>
      <c r="R102" s="50"/>
    </row>
    <row r="103" spans="15:18" ht="12.75">
      <c r="O103" s="50"/>
      <c r="P103" s="50"/>
      <c r="Q103" s="50"/>
      <c r="R103" s="50"/>
    </row>
  </sheetData>
  <sheetProtection sheet="1" objects="1" scenarios="1"/>
  <dataValidations count="7">
    <dataValidation type="list" allowBlank="1" showInputMessage="1" showErrorMessage="1" sqref="E7">
      <formula1>Data!$B$71:$B$110</formula1>
    </dataValidation>
    <dataValidation type="list" allowBlank="1" showInputMessage="1" showErrorMessage="1" sqref="D17 A17">
      <formula1>Data!$A$6:$A$66</formula1>
    </dataValidation>
    <dataValidation type="list" allowBlank="1" showInputMessage="1" showErrorMessage="1" sqref="B10">
      <formula1>Data!$A$243:$A$261</formula1>
    </dataValidation>
    <dataValidation type="list" allowBlank="1" showInputMessage="1" showErrorMessage="1" sqref="B6">
      <formula1>$N$4:$N$5</formula1>
    </dataValidation>
    <dataValidation type="list" allowBlank="1" showInputMessage="1" showErrorMessage="1" sqref="B9">
      <formula1>Data!$A$224:$A$238</formula1>
    </dataValidation>
    <dataValidation type="list" allowBlank="1" showInputMessage="1" showErrorMessage="1" sqref="B37">
      <formula1>Data!$A$170:$A$219</formula1>
    </dataValidation>
    <dataValidation type="list" allowBlank="1" showInputMessage="1" showErrorMessage="1" sqref="E14">
      <formula1>Data!$A$151:$A$165</formula1>
    </dataValidation>
  </dataValidations>
  <printOptions/>
  <pageMargins left="0.75" right="0.75" top="1" bottom="1" header="0.5" footer="0.5"/>
  <pageSetup horizontalDpi="600" verticalDpi="600" orientation="portrait" scale="80" r:id="rId2"/>
  <rowBreaks count="1" manualBreakCount="1">
    <brk id="62" max="6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AI8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114" customWidth="1"/>
    <col min="2" max="2" width="20.421875" style="114" customWidth="1"/>
    <col min="3" max="3" width="26.8515625" style="114" customWidth="1"/>
    <col min="4" max="4" width="22.421875" style="114" customWidth="1"/>
    <col min="5" max="5" width="20.57421875" style="114" customWidth="1"/>
    <col min="6" max="6" width="16.140625" style="114" customWidth="1"/>
    <col min="7" max="7" width="17.28125" style="114" customWidth="1"/>
    <col min="8" max="8" width="15.421875" style="114" bestFit="1" customWidth="1"/>
    <col min="9" max="9" width="18.7109375" style="114" customWidth="1"/>
    <col min="10" max="10" width="16.57421875" style="114" customWidth="1"/>
    <col min="11" max="11" width="15.7109375" style="114" customWidth="1"/>
    <col min="12" max="12" width="12.7109375" style="114" customWidth="1"/>
    <col min="13" max="13" width="13.7109375" style="114" customWidth="1"/>
    <col min="14" max="14" width="12.7109375" style="114" customWidth="1"/>
    <col min="15" max="15" width="11.7109375" style="114" customWidth="1"/>
    <col min="16" max="16" width="12.7109375" style="114" customWidth="1"/>
    <col min="17" max="17" width="12.140625" style="114" customWidth="1"/>
    <col min="18" max="18" width="11.7109375" style="114" customWidth="1"/>
    <col min="19" max="19" width="12.57421875" style="114" customWidth="1"/>
    <col min="20" max="20" width="10.421875" style="114" customWidth="1"/>
    <col min="21" max="21" width="11.57421875" style="114" customWidth="1"/>
    <col min="22" max="22" width="13.28125" style="114" customWidth="1"/>
    <col min="23" max="27" width="9.140625" style="114" customWidth="1"/>
    <col min="28" max="28" width="10.00390625" style="114" customWidth="1"/>
    <col min="29" max="29" width="11.140625" style="114" customWidth="1"/>
    <col min="30" max="30" width="10.421875" style="114" customWidth="1"/>
    <col min="31" max="31" width="12.28125" style="114" customWidth="1"/>
    <col min="32" max="32" width="11.28125" style="114" customWidth="1"/>
    <col min="33" max="33" width="11.140625" style="114" customWidth="1"/>
    <col min="34" max="34" width="11.421875" style="114" customWidth="1"/>
    <col min="35" max="16384" width="9.140625" style="114" customWidth="1"/>
  </cols>
  <sheetData>
    <row r="1" spans="1:8" ht="23.25">
      <c r="A1" s="134" t="s">
        <v>998</v>
      </c>
      <c r="C1" s="190"/>
      <c r="D1" s="191" t="s">
        <v>44</v>
      </c>
      <c r="E1" s="190"/>
      <c r="F1" s="1059" t="s">
        <v>861</v>
      </c>
      <c r="G1" s="1060"/>
      <c r="H1" s="1060"/>
    </row>
    <row r="2" ht="11.25"/>
    <row r="3" spans="1:5" ht="12.75">
      <c r="A3" s="33" t="s">
        <v>35</v>
      </c>
      <c r="C3" s="7" t="s">
        <v>1310</v>
      </c>
      <c r="E3" s="11" t="s">
        <v>145</v>
      </c>
    </row>
    <row r="4" spans="1:5" ht="11.25">
      <c r="A4" s="10" t="s">
        <v>691</v>
      </c>
      <c r="E4" s="11" t="s">
        <v>1232</v>
      </c>
    </row>
    <row r="5" spans="1:12" ht="11.25">
      <c r="A5" s="11" t="s">
        <v>1233</v>
      </c>
      <c r="B5" s="11" t="s">
        <v>1043</v>
      </c>
      <c r="C5" s="11" t="s">
        <v>1044</v>
      </c>
      <c r="D5" s="11" t="s">
        <v>1045</v>
      </c>
      <c r="E5" s="11" t="s">
        <v>1234</v>
      </c>
      <c r="F5" s="11" t="s">
        <v>135</v>
      </c>
      <c r="G5" s="11" t="s">
        <v>1006</v>
      </c>
      <c r="H5" s="11" t="s">
        <v>136</v>
      </c>
      <c r="I5" s="11" t="s">
        <v>137</v>
      </c>
      <c r="J5" s="11" t="s">
        <v>1008</v>
      </c>
      <c r="K5" s="11" t="s">
        <v>1048</v>
      </c>
      <c r="L5" s="12" t="s">
        <v>1049</v>
      </c>
    </row>
    <row r="6" spans="1:12" ht="11.25">
      <c r="A6" s="135"/>
      <c r="B6" s="17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ht="11.25">
      <c r="A7" s="135"/>
      <c r="B7" s="175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2" ht="11.25">
      <c r="A8" s="135"/>
      <c r="B8" s="17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1:12" ht="11.25">
      <c r="A9" s="135"/>
      <c r="B9" s="17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2" ht="11.25">
      <c r="A10" s="135"/>
      <c r="B10" s="175"/>
      <c r="C10" s="135"/>
      <c r="D10" s="135"/>
      <c r="E10" s="135"/>
      <c r="F10" s="135"/>
      <c r="G10" s="135"/>
      <c r="H10" s="135"/>
      <c r="I10" s="135"/>
      <c r="J10" s="135"/>
      <c r="K10" s="135"/>
      <c r="L10" s="135"/>
    </row>
    <row r="11" spans="1:12" ht="11.25">
      <c r="A11" s="135"/>
      <c r="B11" s="175"/>
      <c r="C11" s="135"/>
      <c r="D11" s="135"/>
      <c r="E11" s="135"/>
      <c r="F11" s="135"/>
      <c r="G11" s="135"/>
      <c r="H11" s="135"/>
      <c r="I11" s="136"/>
      <c r="J11" s="137"/>
      <c r="K11" s="135"/>
      <c r="L11" s="135"/>
    </row>
    <row r="12" spans="1:12" ht="11.25">
      <c r="A12" s="135"/>
      <c r="B12" s="175"/>
      <c r="C12" s="135"/>
      <c r="D12" s="135"/>
      <c r="E12" s="135"/>
      <c r="F12" s="135"/>
      <c r="G12" s="135"/>
      <c r="H12" s="135"/>
      <c r="I12" s="138"/>
      <c r="J12" s="139"/>
      <c r="K12" s="135"/>
      <c r="L12" s="135"/>
    </row>
    <row r="13" spans="1:12" ht="11.25">
      <c r="A13" s="135"/>
      <c r="B13" s="17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 ht="11.25">
      <c r="A14" s="135"/>
      <c r="B14" s="175"/>
      <c r="C14" s="135"/>
      <c r="D14" s="135"/>
      <c r="E14" s="135"/>
      <c r="F14" s="135"/>
      <c r="G14" s="135"/>
      <c r="H14" s="135"/>
      <c r="I14" s="135"/>
      <c r="J14" s="135"/>
      <c r="K14" s="135"/>
      <c r="L14" s="135"/>
    </row>
    <row r="15" spans="1:12" ht="11.25">
      <c r="A15" s="135"/>
      <c r="B15" s="175"/>
      <c r="C15" s="135"/>
      <c r="D15" s="135"/>
      <c r="E15" s="135"/>
      <c r="F15" s="135"/>
      <c r="G15" s="135"/>
      <c r="H15" s="135"/>
      <c r="I15" s="135"/>
      <c r="J15" s="135"/>
      <c r="K15" s="135"/>
      <c r="L15" s="135"/>
    </row>
    <row r="16" spans="1:12" ht="11.25">
      <c r="A16" s="135"/>
      <c r="B16" s="175"/>
      <c r="C16" s="135"/>
      <c r="D16" s="135"/>
      <c r="E16" s="135"/>
      <c r="F16" s="135"/>
      <c r="G16" s="135"/>
      <c r="H16" s="135"/>
      <c r="I16" s="135"/>
      <c r="J16" s="135"/>
      <c r="K16" s="135"/>
      <c r="L16" s="135"/>
    </row>
    <row r="17" spans="1:12" ht="11.25">
      <c r="A17" s="135"/>
      <c r="B17" s="175"/>
      <c r="C17" s="135"/>
      <c r="D17" s="135"/>
      <c r="E17" s="135"/>
      <c r="F17" s="135"/>
      <c r="G17" s="135"/>
      <c r="H17" s="135"/>
      <c r="I17" s="135"/>
      <c r="J17" s="135"/>
      <c r="K17" s="135"/>
      <c r="L17" s="135"/>
    </row>
    <row r="18" spans="1:12" ht="11.25">
      <c r="A18" s="135"/>
      <c r="B18" s="175"/>
      <c r="C18" s="135"/>
      <c r="D18" s="135"/>
      <c r="E18" s="135"/>
      <c r="F18" s="135"/>
      <c r="G18" s="135"/>
      <c r="H18" s="135"/>
      <c r="I18" s="135"/>
      <c r="J18" s="135"/>
      <c r="K18" s="135"/>
      <c r="L18" s="135"/>
    </row>
    <row r="19" spans="1:12" ht="11.25">
      <c r="A19" s="135"/>
      <c r="B19" s="175"/>
      <c r="C19" s="135"/>
      <c r="D19" s="135"/>
      <c r="E19" s="135"/>
      <c r="F19" s="135"/>
      <c r="G19" s="135"/>
      <c r="H19" s="135"/>
      <c r="I19" s="135"/>
      <c r="J19" s="135"/>
      <c r="K19" s="135"/>
      <c r="L19" s="135"/>
    </row>
    <row r="20" spans="1:12" ht="11.25">
      <c r="A20" s="135"/>
      <c r="B20" s="175"/>
      <c r="C20" s="135"/>
      <c r="D20" s="135"/>
      <c r="E20" s="135"/>
      <c r="F20" s="135"/>
      <c r="G20" s="135"/>
      <c r="H20" s="135"/>
      <c r="I20" s="135"/>
      <c r="J20" s="135"/>
      <c r="K20" s="135"/>
      <c r="L20" s="135"/>
    </row>
    <row r="21" spans="1:12" ht="11.25">
      <c r="A21" s="135"/>
      <c r="B21" s="175"/>
      <c r="C21" s="135"/>
      <c r="D21" s="135"/>
      <c r="E21" s="135"/>
      <c r="F21" s="135"/>
      <c r="G21" s="135"/>
      <c r="H21" s="135"/>
      <c r="I21" s="135"/>
      <c r="J21" s="135"/>
      <c r="K21" s="135"/>
      <c r="L21" s="135"/>
    </row>
    <row r="22" spans="1:12" ht="11.25">
      <c r="A22" s="135"/>
      <c r="B22" s="175"/>
      <c r="C22" s="135"/>
      <c r="D22" s="135"/>
      <c r="E22" s="135"/>
      <c r="F22" s="135"/>
      <c r="G22" s="135"/>
      <c r="H22" s="135"/>
      <c r="I22" s="135"/>
      <c r="J22" s="135"/>
      <c r="K22" s="135"/>
      <c r="L22" s="135"/>
    </row>
    <row r="23" spans="1:12" ht="11.25">
      <c r="A23" s="135"/>
      <c r="B23" s="175"/>
      <c r="C23" s="135"/>
      <c r="D23" s="135"/>
      <c r="E23" s="135"/>
      <c r="F23" s="135"/>
      <c r="G23" s="135"/>
      <c r="H23" s="135"/>
      <c r="I23" s="135"/>
      <c r="J23" s="135"/>
      <c r="K23" s="135"/>
      <c r="L23" s="135"/>
    </row>
    <row r="24" spans="1:12" ht="11.25">
      <c r="A24" s="135"/>
      <c r="B24" s="175"/>
      <c r="C24" s="135"/>
      <c r="D24" s="135"/>
      <c r="E24" s="135"/>
      <c r="F24" s="135"/>
      <c r="G24" s="135"/>
      <c r="H24" s="135"/>
      <c r="I24" s="135"/>
      <c r="J24" s="135"/>
      <c r="K24" s="135"/>
      <c r="L24" s="135"/>
    </row>
    <row r="25" spans="1:12" ht="11.25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"/>
    </row>
    <row r="26" spans="1:12" ht="11.2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"/>
    </row>
    <row r="27" spans="1:12" ht="11.2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"/>
    </row>
    <row r="28" spans="1:12" ht="11.25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"/>
    </row>
    <row r="29" spans="1:12" ht="11.2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"/>
    </row>
    <row r="30" spans="1:12" ht="11.2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"/>
    </row>
    <row r="31" spans="1:12" ht="11.2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"/>
    </row>
    <row r="32" spans="1:12" ht="11.2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"/>
    </row>
    <row r="33" spans="1:12" ht="11.25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"/>
    </row>
    <row r="34" spans="1:12" ht="11.2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"/>
    </row>
    <row r="35" spans="1:12" ht="11.25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"/>
    </row>
    <row r="36" spans="1:12" ht="11.2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"/>
    </row>
    <row r="37" spans="1:12" ht="11.2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"/>
    </row>
    <row r="38" spans="1:12" ht="11.2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"/>
    </row>
    <row r="39" spans="1:12" ht="11.2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"/>
    </row>
    <row r="40" spans="1:12" ht="11.2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"/>
    </row>
    <row r="41" spans="1:12" ht="11.2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"/>
    </row>
    <row r="42" spans="1:12" ht="11.2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"/>
    </row>
    <row r="43" spans="1:12" ht="11.2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"/>
    </row>
    <row r="44" spans="1:12" ht="11.2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"/>
    </row>
    <row r="45" spans="1:12" ht="11.2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"/>
    </row>
    <row r="46" spans="1:12" ht="11.2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"/>
    </row>
    <row r="47" spans="1:12" ht="11.2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"/>
    </row>
    <row r="48" spans="1:12" ht="11.2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"/>
    </row>
    <row r="49" spans="1:12" ht="11.2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"/>
    </row>
    <row r="50" spans="1:12" ht="11.2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"/>
    </row>
    <row r="51" spans="1:12" ht="11.2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"/>
    </row>
    <row r="52" spans="1:12" ht="11.2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"/>
    </row>
    <row r="53" spans="1:12" ht="11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"/>
    </row>
    <row r="54" spans="1:12" ht="11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"/>
    </row>
    <row r="55" spans="1:12" ht="11.2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"/>
    </row>
    <row r="56" spans="1:12" ht="11.2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"/>
    </row>
    <row r="57" spans="1:12" ht="11.2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"/>
    </row>
    <row r="58" spans="1:12" ht="11.2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"/>
    </row>
    <row r="59" spans="1:12" ht="11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"/>
    </row>
    <row r="60" spans="1:12" ht="11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"/>
    </row>
    <row r="61" spans="1:12" ht="11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"/>
    </row>
    <row r="62" spans="1:12" ht="11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"/>
    </row>
    <row r="63" spans="1:12" ht="11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"/>
    </row>
    <row r="64" spans="1:12" ht="11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"/>
    </row>
    <row r="65" spans="1:12" ht="11.2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"/>
    </row>
    <row r="66" spans="1:12" ht="11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"/>
    </row>
    <row r="68" spans="3:8" ht="15.75">
      <c r="C68" s="190"/>
      <c r="D68" s="191" t="s">
        <v>44</v>
      </c>
      <c r="E68" s="190"/>
      <c r="F68" s="1059" t="s">
        <v>861</v>
      </c>
      <c r="G68" s="1060"/>
      <c r="H68" s="1060"/>
    </row>
    <row r="69" ht="11.25">
      <c r="A69" s="11" t="s">
        <v>34</v>
      </c>
    </row>
    <row r="70" spans="1:11" ht="11.25">
      <c r="A70" s="11" t="s">
        <v>1239</v>
      </c>
      <c r="B70" s="11" t="s">
        <v>609</v>
      </c>
      <c r="C70" s="11" t="s">
        <v>1238</v>
      </c>
      <c r="D70" s="11" t="s">
        <v>43</v>
      </c>
      <c r="E70" s="9" t="s">
        <v>1046</v>
      </c>
      <c r="F70" s="9" t="s">
        <v>1007</v>
      </c>
      <c r="G70" s="9" t="s">
        <v>1047</v>
      </c>
      <c r="H70" s="9" t="s">
        <v>1008</v>
      </c>
      <c r="I70" s="9" t="s">
        <v>1042</v>
      </c>
      <c r="J70" s="9" t="s">
        <v>675</v>
      </c>
      <c r="K70" s="9" t="s">
        <v>1242</v>
      </c>
    </row>
    <row r="71" spans="1:11" ht="11.25">
      <c r="A71" s="13"/>
      <c r="B71" s="13"/>
      <c r="C71" s="13"/>
      <c r="D71" s="189">
        <f>+A71</f>
        <v>0</v>
      </c>
      <c r="E71" s="19"/>
      <c r="F71" s="19"/>
      <c r="G71" s="19"/>
      <c r="H71" s="19"/>
      <c r="I71" s="19"/>
      <c r="J71" s="19"/>
      <c r="K71" s="19"/>
    </row>
    <row r="72" spans="1:11" ht="11.25">
      <c r="A72" s="13"/>
      <c r="B72" s="13"/>
      <c r="C72" s="13"/>
      <c r="D72" s="189">
        <f aca="true" t="shared" si="0" ref="D72:D135">+A72</f>
        <v>0</v>
      </c>
      <c r="E72" s="19"/>
      <c r="F72" s="19"/>
      <c r="G72" s="19"/>
      <c r="H72" s="19"/>
      <c r="I72" s="19"/>
      <c r="J72" s="19"/>
      <c r="K72" s="19"/>
    </row>
    <row r="73" spans="1:11" ht="11.25">
      <c r="A73" s="13"/>
      <c r="B73" s="13"/>
      <c r="C73" s="13"/>
      <c r="D73" s="189">
        <f t="shared" si="0"/>
        <v>0</v>
      </c>
      <c r="E73" s="19"/>
      <c r="F73" s="19"/>
      <c r="G73" s="19"/>
      <c r="H73" s="19"/>
      <c r="I73" s="19"/>
      <c r="J73" s="19"/>
      <c r="K73" s="19"/>
    </row>
    <row r="74" spans="1:11" ht="11.25">
      <c r="A74" s="13"/>
      <c r="B74" s="13"/>
      <c r="C74" s="13"/>
      <c r="D74" s="189">
        <f t="shared" si="0"/>
        <v>0</v>
      </c>
      <c r="E74" s="19"/>
      <c r="F74" s="19"/>
      <c r="G74" s="19"/>
      <c r="H74" s="19"/>
      <c r="I74" s="19"/>
      <c r="J74" s="19"/>
      <c r="K74" s="19"/>
    </row>
    <row r="75" spans="1:11" ht="11.25">
      <c r="A75" s="13"/>
      <c r="B75" s="13"/>
      <c r="C75" s="13"/>
      <c r="D75" s="189">
        <f t="shared" si="0"/>
        <v>0</v>
      </c>
      <c r="E75" s="19"/>
      <c r="F75" s="19"/>
      <c r="G75" s="19"/>
      <c r="H75" s="19"/>
      <c r="I75" s="19"/>
      <c r="J75" s="19"/>
      <c r="K75" s="19"/>
    </row>
    <row r="76" spans="1:11" ht="11.25">
      <c r="A76" s="13"/>
      <c r="B76" s="13"/>
      <c r="C76" s="13"/>
      <c r="D76" s="189">
        <f t="shared" si="0"/>
        <v>0</v>
      </c>
      <c r="E76" s="19"/>
      <c r="F76" s="19"/>
      <c r="G76" s="19"/>
      <c r="H76" s="19"/>
      <c r="I76" s="19"/>
      <c r="J76" s="19"/>
      <c r="K76" s="19"/>
    </row>
    <row r="77" spans="1:11" ht="11.25">
      <c r="A77" s="13"/>
      <c r="B77" s="13"/>
      <c r="C77" s="13"/>
      <c r="D77" s="189">
        <f t="shared" si="0"/>
        <v>0</v>
      </c>
      <c r="E77" s="19"/>
      <c r="F77" s="19"/>
      <c r="G77" s="19"/>
      <c r="H77" s="19"/>
      <c r="I77" s="19"/>
      <c r="J77" s="19"/>
      <c r="K77" s="19"/>
    </row>
    <row r="78" spans="1:11" ht="11.25">
      <c r="A78" s="13"/>
      <c r="B78" s="13"/>
      <c r="C78" s="13"/>
      <c r="D78" s="189">
        <f t="shared" si="0"/>
        <v>0</v>
      </c>
      <c r="E78" s="19"/>
      <c r="F78" s="19"/>
      <c r="G78" s="19"/>
      <c r="H78" s="19"/>
      <c r="I78" s="19"/>
      <c r="J78" s="19"/>
      <c r="K78" s="19"/>
    </row>
    <row r="79" spans="1:11" ht="11.25">
      <c r="A79" s="13"/>
      <c r="B79" s="13"/>
      <c r="C79" s="13"/>
      <c r="D79" s="189">
        <f t="shared" si="0"/>
        <v>0</v>
      </c>
      <c r="E79" s="19"/>
      <c r="F79" s="19"/>
      <c r="G79" s="19"/>
      <c r="H79" s="19"/>
      <c r="I79" s="19"/>
      <c r="J79" s="19"/>
      <c r="K79" s="19"/>
    </row>
    <row r="80" spans="1:11" ht="11.25">
      <c r="A80" s="13"/>
      <c r="B80" s="13"/>
      <c r="C80" s="13"/>
      <c r="D80" s="189">
        <f t="shared" si="0"/>
        <v>0</v>
      </c>
      <c r="E80" s="19"/>
      <c r="F80" s="19"/>
      <c r="G80" s="19"/>
      <c r="H80" s="19"/>
      <c r="I80" s="19"/>
      <c r="J80" s="19"/>
      <c r="K80" s="19"/>
    </row>
    <row r="81" spans="1:11" ht="11.25">
      <c r="A81" s="13"/>
      <c r="B81" s="13"/>
      <c r="C81" s="13"/>
      <c r="D81" s="189">
        <f t="shared" si="0"/>
        <v>0</v>
      </c>
      <c r="E81" s="19"/>
      <c r="F81" s="19"/>
      <c r="G81" s="19"/>
      <c r="H81" s="19"/>
      <c r="I81" s="19"/>
      <c r="J81" s="19"/>
      <c r="K81" s="19"/>
    </row>
    <row r="82" spans="1:11" ht="11.25">
      <c r="A82" s="13"/>
      <c r="B82" s="13"/>
      <c r="C82" s="13"/>
      <c r="D82" s="189">
        <f t="shared" si="0"/>
        <v>0</v>
      </c>
      <c r="E82" s="19"/>
      <c r="F82" s="19"/>
      <c r="G82" s="19"/>
      <c r="H82" s="19"/>
      <c r="I82" s="19"/>
      <c r="J82" s="19"/>
      <c r="K82" s="19"/>
    </row>
    <row r="83" spans="1:11" ht="11.25">
      <c r="A83" s="13"/>
      <c r="B83" s="13"/>
      <c r="C83" s="13"/>
      <c r="D83" s="189">
        <f t="shared" si="0"/>
        <v>0</v>
      </c>
      <c r="E83" s="19"/>
      <c r="F83" s="19"/>
      <c r="G83" s="19"/>
      <c r="H83" s="19"/>
      <c r="I83" s="19"/>
      <c r="J83" s="19"/>
      <c r="K83" s="19"/>
    </row>
    <row r="84" spans="1:11" ht="11.25">
      <c r="A84" s="13"/>
      <c r="B84" s="13"/>
      <c r="C84" s="13"/>
      <c r="D84" s="189">
        <f t="shared" si="0"/>
        <v>0</v>
      </c>
      <c r="E84" s="19"/>
      <c r="F84" s="19"/>
      <c r="G84" s="19"/>
      <c r="H84" s="19"/>
      <c r="I84" s="19"/>
      <c r="J84" s="19"/>
      <c r="K84" s="19"/>
    </row>
    <row r="85" spans="1:11" ht="11.25">
      <c r="A85" s="13"/>
      <c r="B85" s="13"/>
      <c r="C85" s="13"/>
      <c r="D85" s="189">
        <f t="shared" si="0"/>
        <v>0</v>
      </c>
      <c r="E85" s="19"/>
      <c r="F85" s="19"/>
      <c r="G85" s="19"/>
      <c r="H85" s="19"/>
      <c r="I85" s="19"/>
      <c r="J85" s="19"/>
      <c r="K85" s="19"/>
    </row>
    <row r="86" spans="1:11" ht="11.25">
      <c r="A86" s="13"/>
      <c r="B86" s="13"/>
      <c r="C86" s="13"/>
      <c r="D86" s="189">
        <f t="shared" si="0"/>
        <v>0</v>
      </c>
      <c r="E86" s="19"/>
      <c r="F86" s="19"/>
      <c r="G86" s="19"/>
      <c r="H86" s="19"/>
      <c r="I86" s="19"/>
      <c r="J86" s="19"/>
      <c r="K86" s="19"/>
    </row>
    <row r="87" spans="1:11" ht="11.25">
      <c r="A87" s="13"/>
      <c r="B87" s="13"/>
      <c r="C87" s="13"/>
      <c r="D87" s="189">
        <f t="shared" si="0"/>
        <v>0</v>
      </c>
      <c r="E87" s="19"/>
      <c r="F87" s="19"/>
      <c r="G87" s="19"/>
      <c r="H87" s="19"/>
      <c r="I87" s="19"/>
      <c r="J87" s="19"/>
      <c r="K87" s="19"/>
    </row>
    <row r="88" spans="1:11" ht="11.25">
      <c r="A88" s="13"/>
      <c r="B88" s="13"/>
      <c r="C88" s="13"/>
      <c r="D88" s="189">
        <f t="shared" si="0"/>
        <v>0</v>
      </c>
      <c r="E88" s="19"/>
      <c r="F88" s="19"/>
      <c r="G88" s="19"/>
      <c r="H88" s="19"/>
      <c r="I88" s="19"/>
      <c r="J88" s="19"/>
      <c r="K88" s="19"/>
    </row>
    <row r="89" spans="1:11" ht="11.25">
      <c r="A89" s="13"/>
      <c r="B89" s="13"/>
      <c r="C89" s="13"/>
      <c r="D89" s="189">
        <f t="shared" si="0"/>
        <v>0</v>
      </c>
      <c r="E89" s="19"/>
      <c r="F89" s="19"/>
      <c r="G89" s="19"/>
      <c r="H89" s="19"/>
      <c r="I89" s="19"/>
      <c r="J89" s="19"/>
      <c r="K89" s="19"/>
    </row>
    <row r="90" spans="1:11" ht="11.25">
      <c r="A90" s="13"/>
      <c r="B90" s="13"/>
      <c r="C90" s="13"/>
      <c r="D90" s="189">
        <f t="shared" si="0"/>
        <v>0</v>
      </c>
      <c r="E90" s="19"/>
      <c r="F90" s="19"/>
      <c r="G90" s="19"/>
      <c r="H90" s="19"/>
      <c r="I90" s="19"/>
      <c r="J90" s="19"/>
      <c r="K90" s="19"/>
    </row>
    <row r="91" spans="1:11" ht="11.25">
      <c r="A91" s="13"/>
      <c r="B91" s="13"/>
      <c r="C91" s="13"/>
      <c r="D91" s="189">
        <f t="shared" si="0"/>
        <v>0</v>
      </c>
      <c r="E91" s="19"/>
      <c r="F91" s="19"/>
      <c r="G91" s="19"/>
      <c r="H91" s="19"/>
      <c r="I91" s="19"/>
      <c r="J91" s="19"/>
      <c r="K91" s="19"/>
    </row>
    <row r="92" spans="1:11" ht="11.25">
      <c r="A92" s="13"/>
      <c r="B92" s="13"/>
      <c r="C92" s="13"/>
      <c r="D92" s="189">
        <f t="shared" si="0"/>
        <v>0</v>
      </c>
      <c r="E92" s="19"/>
      <c r="F92" s="19"/>
      <c r="G92" s="19"/>
      <c r="H92" s="19"/>
      <c r="I92" s="19"/>
      <c r="J92" s="19"/>
      <c r="K92" s="19"/>
    </row>
    <row r="93" spans="1:11" ht="11.25">
      <c r="A93" s="13"/>
      <c r="B93" s="13"/>
      <c r="C93" s="13"/>
      <c r="D93" s="189">
        <f t="shared" si="0"/>
        <v>0</v>
      </c>
      <c r="E93" s="19"/>
      <c r="F93" s="19"/>
      <c r="G93" s="19"/>
      <c r="H93" s="19"/>
      <c r="I93" s="19"/>
      <c r="J93" s="19"/>
      <c r="K93" s="19"/>
    </row>
    <row r="94" spans="1:11" ht="11.25">
      <c r="A94" s="13"/>
      <c r="B94" s="13"/>
      <c r="C94" s="13"/>
      <c r="D94" s="189">
        <f t="shared" si="0"/>
        <v>0</v>
      </c>
      <c r="E94" s="19"/>
      <c r="F94" s="19"/>
      <c r="G94" s="19"/>
      <c r="H94" s="19"/>
      <c r="I94" s="19"/>
      <c r="J94" s="19"/>
      <c r="K94" s="19"/>
    </row>
    <row r="95" spans="1:11" ht="11.25">
      <c r="A95" s="13"/>
      <c r="B95" s="13"/>
      <c r="C95" s="13"/>
      <c r="D95" s="189">
        <f t="shared" si="0"/>
        <v>0</v>
      </c>
      <c r="E95" s="19"/>
      <c r="F95" s="19"/>
      <c r="G95" s="19"/>
      <c r="H95" s="19"/>
      <c r="I95" s="19"/>
      <c r="J95" s="19"/>
      <c r="K95" s="19"/>
    </row>
    <row r="96" spans="1:11" ht="11.25">
      <c r="A96" s="13"/>
      <c r="B96" s="13"/>
      <c r="C96" s="13"/>
      <c r="D96" s="189">
        <f t="shared" si="0"/>
        <v>0</v>
      </c>
      <c r="E96" s="19"/>
      <c r="F96" s="19"/>
      <c r="G96" s="19"/>
      <c r="H96" s="19"/>
      <c r="I96" s="19"/>
      <c r="J96" s="19"/>
      <c r="K96" s="19"/>
    </row>
    <row r="97" spans="1:11" ht="11.25">
      <c r="A97" s="13"/>
      <c r="B97" s="13"/>
      <c r="C97" s="13"/>
      <c r="D97" s="189">
        <f t="shared" si="0"/>
        <v>0</v>
      </c>
      <c r="E97" s="19"/>
      <c r="F97" s="19"/>
      <c r="G97" s="19"/>
      <c r="H97" s="19"/>
      <c r="I97" s="19"/>
      <c r="J97" s="19"/>
      <c r="K97" s="19"/>
    </row>
    <row r="98" spans="1:11" ht="11.25">
      <c r="A98" s="13"/>
      <c r="B98" s="13"/>
      <c r="C98" s="13"/>
      <c r="D98" s="189">
        <f t="shared" si="0"/>
        <v>0</v>
      </c>
      <c r="E98" s="19"/>
      <c r="F98" s="19"/>
      <c r="G98" s="19"/>
      <c r="H98" s="19"/>
      <c r="I98" s="19"/>
      <c r="J98" s="19"/>
      <c r="K98" s="19"/>
    </row>
    <row r="99" spans="1:11" ht="11.25">
      <c r="A99" s="13"/>
      <c r="B99" s="13"/>
      <c r="C99" s="13"/>
      <c r="D99" s="189">
        <f t="shared" si="0"/>
        <v>0</v>
      </c>
      <c r="E99" s="19"/>
      <c r="F99" s="19"/>
      <c r="G99" s="19"/>
      <c r="H99" s="19"/>
      <c r="I99" s="19"/>
      <c r="J99" s="19"/>
      <c r="K99" s="19"/>
    </row>
    <row r="100" spans="1:11" ht="11.25">
      <c r="A100" s="13"/>
      <c r="B100" s="13"/>
      <c r="C100" s="13"/>
      <c r="D100" s="189">
        <f t="shared" si="0"/>
        <v>0</v>
      </c>
      <c r="E100" s="19"/>
      <c r="F100" s="19"/>
      <c r="G100" s="19"/>
      <c r="H100" s="19"/>
      <c r="I100" s="19"/>
      <c r="J100" s="19"/>
      <c r="K100" s="19"/>
    </row>
    <row r="101" spans="1:11" ht="11.25">
      <c r="A101" s="13"/>
      <c r="B101" s="13"/>
      <c r="C101" s="13"/>
      <c r="D101" s="189">
        <f t="shared" si="0"/>
        <v>0</v>
      </c>
      <c r="E101" s="19"/>
      <c r="F101" s="19"/>
      <c r="G101" s="19"/>
      <c r="H101" s="19"/>
      <c r="I101" s="19"/>
      <c r="J101" s="19"/>
      <c r="K101" s="19"/>
    </row>
    <row r="102" spans="1:11" ht="11.25">
      <c r="A102" s="13"/>
      <c r="B102" s="13"/>
      <c r="C102" s="13"/>
      <c r="D102" s="189">
        <f t="shared" si="0"/>
        <v>0</v>
      </c>
      <c r="E102" s="19"/>
      <c r="F102" s="19"/>
      <c r="G102" s="19"/>
      <c r="H102" s="19"/>
      <c r="I102" s="19"/>
      <c r="J102" s="19"/>
      <c r="K102" s="19"/>
    </row>
    <row r="103" spans="1:11" ht="11.25">
      <c r="A103" s="13"/>
      <c r="B103" s="13"/>
      <c r="C103" s="13"/>
      <c r="D103" s="189">
        <f t="shared" si="0"/>
        <v>0</v>
      </c>
      <c r="E103" s="19"/>
      <c r="F103" s="19"/>
      <c r="G103" s="19"/>
      <c r="H103" s="19"/>
      <c r="I103" s="19"/>
      <c r="J103" s="19"/>
      <c r="K103" s="19"/>
    </row>
    <row r="104" spans="1:11" ht="11.25">
      <c r="A104" s="13"/>
      <c r="B104" s="13"/>
      <c r="C104" s="13"/>
      <c r="D104" s="189">
        <f t="shared" si="0"/>
        <v>0</v>
      </c>
      <c r="E104" s="19"/>
      <c r="F104" s="19"/>
      <c r="G104" s="19"/>
      <c r="H104" s="19"/>
      <c r="I104" s="19"/>
      <c r="J104" s="19"/>
      <c r="K104" s="19"/>
    </row>
    <row r="105" spans="1:11" ht="11.25">
      <c r="A105" s="13"/>
      <c r="B105" s="13"/>
      <c r="C105" s="13"/>
      <c r="D105" s="189">
        <f t="shared" si="0"/>
        <v>0</v>
      </c>
      <c r="E105" s="19"/>
      <c r="F105" s="19"/>
      <c r="G105" s="19"/>
      <c r="H105" s="19"/>
      <c r="I105" s="19"/>
      <c r="J105" s="19"/>
      <c r="K105" s="19"/>
    </row>
    <row r="106" spans="1:11" ht="11.25">
      <c r="A106" s="13"/>
      <c r="B106" s="13"/>
      <c r="C106" s="13"/>
      <c r="D106" s="189">
        <f t="shared" si="0"/>
        <v>0</v>
      </c>
      <c r="E106" s="19"/>
      <c r="F106" s="19"/>
      <c r="G106" s="19"/>
      <c r="H106" s="19"/>
      <c r="I106" s="19"/>
      <c r="J106" s="19"/>
      <c r="K106" s="19"/>
    </row>
    <row r="107" spans="1:11" ht="11.25">
      <c r="A107" s="13"/>
      <c r="B107" s="13"/>
      <c r="C107" s="13"/>
      <c r="D107" s="189">
        <f t="shared" si="0"/>
        <v>0</v>
      </c>
      <c r="E107" s="19"/>
      <c r="F107" s="19"/>
      <c r="G107" s="19"/>
      <c r="H107" s="19"/>
      <c r="I107" s="19"/>
      <c r="J107" s="19"/>
      <c r="K107" s="19"/>
    </row>
    <row r="108" spans="1:11" ht="11.25">
      <c r="A108" s="13"/>
      <c r="B108" s="13"/>
      <c r="C108" s="13"/>
      <c r="D108" s="189">
        <f t="shared" si="0"/>
        <v>0</v>
      </c>
      <c r="E108" s="19"/>
      <c r="F108" s="19"/>
      <c r="G108" s="19"/>
      <c r="H108" s="19"/>
      <c r="I108" s="19"/>
      <c r="J108" s="19"/>
      <c r="K108" s="19"/>
    </row>
    <row r="109" spans="1:11" ht="11.25">
      <c r="A109" s="13"/>
      <c r="B109" s="13"/>
      <c r="C109" s="13"/>
      <c r="D109" s="189">
        <f t="shared" si="0"/>
        <v>0</v>
      </c>
      <c r="E109" s="19"/>
      <c r="F109" s="19"/>
      <c r="G109" s="19"/>
      <c r="H109" s="19"/>
      <c r="I109" s="19"/>
      <c r="J109" s="19"/>
      <c r="K109" s="19"/>
    </row>
    <row r="110" spans="1:11" ht="11.25">
      <c r="A110" s="13"/>
      <c r="B110" s="13"/>
      <c r="C110" s="13"/>
      <c r="D110" s="189">
        <f t="shared" si="0"/>
        <v>0</v>
      </c>
      <c r="E110" s="19"/>
      <c r="F110" s="19"/>
      <c r="G110" s="19"/>
      <c r="H110" s="19"/>
      <c r="I110" s="19"/>
      <c r="J110" s="19"/>
      <c r="K110" s="19"/>
    </row>
    <row r="111" spans="1:11" ht="11.25">
      <c r="A111" s="13"/>
      <c r="B111" s="13"/>
      <c r="C111" s="13"/>
      <c r="D111" s="189">
        <f t="shared" si="0"/>
        <v>0</v>
      </c>
      <c r="E111" s="19"/>
      <c r="F111" s="19"/>
      <c r="G111" s="19"/>
      <c r="H111" s="19"/>
      <c r="I111" s="19"/>
      <c r="J111" s="19"/>
      <c r="K111" s="19"/>
    </row>
    <row r="112" spans="1:11" ht="11.25">
      <c r="A112" s="13"/>
      <c r="B112" s="13"/>
      <c r="C112" s="13"/>
      <c r="D112" s="189">
        <f t="shared" si="0"/>
        <v>0</v>
      </c>
      <c r="E112" s="19"/>
      <c r="F112" s="19"/>
      <c r="G112" s="19"/>
      <c r="H112" s="19"/>
      <c r="I112" s="19"/>
      <c r="J112" s="19"/>
      <c r="K112" s="19"/>
    </row>
    <row r="113" spans="1:11" ht="11.25">
      <c r="A113" s="13"/>
      <c r="B113" s="13"/>
      <c r="C113" s="13"/>
      <c r="D113" s="189">
        <f t="shared" si="0"/>
        <v>0</v>
      </c>
      <c r="E113" s="19"/>
      <c r="F113" s="19"/>
      <c r="G113" s="19"/>
      <c r="H113" s="19"/>
      <c r="I113" s="19"/>
      <c r="J113" s="19"/>
      <c r="K113" s="19"/>
    </row>
    <row r="114" spans="1:11" ht="11.25">
      <c r="A114" s="13"/>
      <c r="B114" s="13"/>
      <c r="C114" s="13"/>
      <c r="D114" s="189">
        <f t="shared" si="0"/>
        <v>0</v>
      </c>
      <c r="E114" s="19"/>
      <c r="F114" s="19"/>
      <c r="G114" s="19"/>
      <c r="H114" s="19"/>
      <c r="I114" s="19"/>
      <c r="J114" s="19"/>
      <c r="K114" s="19"/>
    </row>
    <row r="115" spans="1:11" ht="11.25">
      <c r="A115" s="13"/>
      <c r="B115" s="13"/>
      <c r="C115" s="13"/>
      <c r="D115" s="189">
        <f t="shared" si="0"/>
        <v>0</v>
      </c>
      <c r="E115" s="19"/>
      <c r="F115" s="19"/>
      <c r="G115" s="19"/>
      <c r="H115" s="19"/>
      <c r="I115" s="19"/>
      <c r="J115" s="19"/>
      <c r="K115" s="19"/>
    </row>
    <row r="116" spans="1:11" ht="11.25">
      <c r="A116" s="13"/>
      <c r="B116" s="13"/>
      <c r="C116" s="13"/>
      <c r="D116" s="189">
        <f t="shared" si="0"/>
        <v>0</v>
      </c>
      <c r="E116" s="19"/>
      <c r="F116" s="19"/>
      <c r="G116" s="19"/>
      <c r="H116" s="19"/>
      <c r="I116" s="19"/>
      <c r="J116" s="19"/>
      <c r="K116" s="19"/>
    </row>
    <row r="117" spans="1:11" ht="11.25">
      <c r="A117" s="13"/>
      <c r="B117" s="13"/>
      <c r="C117" s="13"/>
      <c r="D117" s="189">
        <f t="shared" si="0"/>
        <v>0</v>
      </c>
      <c r="E117" s="19"/>
      <c r="F117" s="19"/>
      <c r="G117" s="19"/>
      <c r="H117" s="19"/>
      <c r="I117" s="19"/>
      <c r="J117" s="19"/>
      <c r="K117" s="19"/>
    </row>
    <row r="118" spans="1:11" ht="11.25">
      <c r="A118" s="13"/>
      <c r="B118" s="13"/>
      <c r="C118" s="13"/>
      <c r="D118" s="189">
        <f t="shared" si="0"/>
        <v>0</v>
      </c>
      <c r="E118" s="19"/>
      <c r="F118" s="19"/>
      <c r="G118" s="19"/>
      <c r="H118" s="19"/>
      <c r="I118" s="19"/>
      <c r="J118" s="19"/>
      <c r="K118" s="19"/>
    </row>
    <row r="119" spans="1:11" ht="11.25">
      <c r="A119" s="13"/>
      <c r="B119" s="13"/>
      <c r="C119" s="13"/>
      <c r="D119" s="189">
        <f t="shared" si="0"/>
        <v>0</v>
      </c>
      <c r="E119" s="19"/>
      <c r="F119" s="19"/>
      <c r="G119" s="19"/>
      <c r="H119" s="19"/>
      <c r="I119" s="19"/>
      <c r="J119" s="19"/>
      <c r="K119" s="19"/>
    </row>
    <row r="120" spans="1:11" ht="11.25">
      <c r="A120" s="13"/>
      <c r="B120" s="13"/>
      <c r="C120" s="13"/>
      <c r="D120" s="189">
        <f t="shared" si="0"/>
        <v>0</v>
      </c>
      <c r="E120" s="19"/>
      <c r="F120" s="19"/>
      <c r="G120" s="19"/>
      <c r="H120" s="19"/>
      <c r="I120" s="19"/>
      <c r="J120" s="19"/>
      <c r="K120" s="19"/>
    </row>
    <row r="121" spans="1:11" ht="11.25">
      <c r="A121" s="13"/>
      <c r="B121" s="13"/>
      <c r="C121" s="13"/>
      <c r="D121" s="189">
        <f t="shared" si="0"/>
        <v>0</v>
      </c>
      <c r="E121" s="19"/>
      <c r="F121" s="19"/>
      <c r="G121" s="19"/>
      <c r="H121" s="19"/>
      <c r="I121" s="19"/>
      <c r="J121" s="19"/>
      <c r="K121" s="19"/>
    </row>
    <row r="122" spans="1:11" ht="11.25">
      <c r="A122" s="13"/>
      <c r="B122" s="13"/>
      <c r="C122" s="13"/>
      <c r="D122" s="189">
        <f t="shared" si="0"/>
        <v>0</v>
      </c>
      <c r="E122" s="19"/>
      <c r="F122" s="19"/>
      <c r="G122" s="19"/>
      <c r="H122" s="19"/>
      <c r="I122" s="19"/>
      <c r="J122" s="19"/>
      <c r="K122" s="19"/>
    </row>
    <row r="123" spans="1:11" ht="11.25">
      <c r="A123" s="13"/>
      <c r="B123" s="13"/>
      <c r="C123" s="13"/>
      <c r="D123" s="189">
        <f t="shared" si="0"/>
        <v>0</v>
      </c>
      <c r="E123" s="19"/>
      <c r="F123" s="19"/>
      <c r="G123" s="19"/>
      <c r="H123" s="19"/>
      <c r="I123" s="19"/>
      <c r="J123" s="19"/>
      <c r="K123" s="19"/>
    </row>
    <row r="124" spans="1:11" ht="11.25">
      <c r="A124" s="13"/>
      <c r="B124" s="13"/>
      <c r="C124" s="13"/>
      <c r="D124" s="189">
        <f t="shared" si="0"/>
        <v>0</v>
      </c>
      <c r="E124" s="19"/>
      <c r="F124" s="19"/>
      <c r="G124" s="19"/>
      <c r="H124" s="19"/>
      <c r="I124" s="19"/>
      <c r="J124" s="19"/>
      <c r="K124" s="19"/>
    </row>
    <row r="125" spans="1:11" ht="11.25">
      <c r="A125" s="13"/>
      <c r="B125" s="13"/>
      <c r="C125" s="13"/>
      <c r="D125" s="189">
        <f t="shared" si="0"/>
        <v>0</v>
      </c>
      <c r="E125" s="19"/>
      <c r="F125" s="19"/>
      <c r="G125" s="19"/>
      <c r="H125" s="19"/>
      <c r="I125" s="19"/>
      <c r="J125" s="19"/>
      <c r="K125" s="19"/>
    </row>
    <row r="126" spans="1:11" ht="11.25">
      <c r="A126" s="13"/>
      <c r="B126" s="13"/>
      <c r="C126" s="13"/>
      <c r="D126" s="189">
        <f t="shared" si="0"/>
        <v>0</v>
      </c>
      <c r="E126" s="19"/>
      <c r="F126" s="19"/>
      <c r="G126" s="19"/>
      <c r="H126" s="19"/>
      <c r="I126" s="19"/>
      <c r="J126" s="19"/>
      <c r="K126" s="19"/>
    </row>
    <row r="127" spans="1:11" ht="11.25">
      <c r="A127" s="13"/>
      <c r="B127" s="13"/>
      <c r="C127" s="13"/>
      <c r="D127" s="189">
        <f t="shared" si="0"/>
        <v>0</v>
      </c>
      <c r="E127" s="19"/>
      <c r="F127" s="19"/>
      <c r="G127" s="19"/>
      <c r="H127" s="19"/>
      <c r="I127" s="19"/>
      <c r="J127" s="19"/>
      <c r="K127" s="19"/>
    </row>
    <row r="128" spans="1:11" ht="11.25">
      <c r="A128" s="13"/>
      <c r="B128" s="13"/>
      <c r="C128" s="13"/>
      <c r="D128" s="189">
        <f t="shared" si="0"/>
        <v>0</v>
      </c>
      <c r="E128" s="19"/>
      <c r="F128" s="19"/>
      <c r="G128" s="19"/>
      <c r="H128" s="19"/>
      <c r="I128" s="19"/>
      <c r="J128" s="19"/>
      <c r="K128" s="19"/>
    </row>
    <row r="129" spans="1:11" ht="11.25">
      <c r="A129" s="13"/>
      <c r="B129" s="13"/>
      <c r="C129" s="13"/>
      <c r="D129" s="189">
        <f t="shared" si="0"/>
        <v>0</v>
      </c>
      <c r="E129" s="19"/>
      <c r="F129" s="19"/>
      <c r="G129" s="19"/>
      <c r="H129" s="19"/>
      <c r="I129" s="19"/>
      <c r="J129" s="19"/>
      <c r="K129" s="19"/>
    </row>
    <row r="130" spans="1:11" ht="11.25">
      <c r="A130" s="13"/>
      <c r="B130" s="13"/>
      <c r="C130" s="13"/>
      <c r="D130" s="189">
        <f t="shared" si="0"/>
        <v>0</v>
      </c>
      <c r="E130" s="19"/>
      <c r="F130" s="19"/>
      <c r="G130" s="19"/>
      <c r="H130" s="19"/>
      <c r="I130" s="19"/>
      <c r="J130" s="19"/>
      <c r="K130" s="19"/>
    </row>
    <row r="131" spans="1:11" ht="11.25">
      <c r="A131" s="13"/>
      <c r="B131" s="13"/>
      <c r="C131" s="13"/>
      <c r="D131" s="189">
        <f t="shared" si="0"/>
        <v>0</v>
      </c>
      <c r="E131" s="19"/>
      <c r="F131" s="19"/>
      <c r="G131" s="19"/>
      <c r="H131" s="19"/>
      <c r="I131" s="19"/>
      <c r="J131" s="19"/>
      <c r="K131" s="19"/>
    </row>
    <row r="132" spans="1:11" ht="11.25">
      <c r="A132" s="13"/>
      <c r="B132" s="13"/>
      <c r="C132" s="13"/>
      <c r="D132" s="189">
        <f t="shared" si="0"/>
        <v>0</v>
      </c>
      <c r="E132" s="19"/>
      <c r="F132" s="19"/>
      <c r="G132" s="19"/>
      <c r="H132" s="19"/>
      <c r="I132" s="19"/>
      <c r="J132" s="19"/>
      <c r="K132" s="19"/>
    </row>
    <row r="133" spans="1:11" ht="11.25">
      <c r="A133" s="13"/>
      <c r="B133" s="13"/>
      <c r="C133" s="13"/>
      <c r="D133" s="189">
        <f t="shared" si="0"/>
        <v>0</v>
      </c>
      <c r="E133" s="19"/>
      <c r="F133" s="19"/>
      <c r="G133" s="19"/>
      <c r="H133" s="19"/>
      <c r="I133" s="19"/>
      <c r="J133" s="19"/>
      <c r="K133" s="19"/>
    </row>
    <row r="134" spans="1:11" ht="11.25">
      <c r="A134" s="13"/>
      <c r="B134" s="13"/>
      <c r="C134" s="13"/>
      <c r="D134" s="189">
        <f t="shared" si="0"/>
        <v>0</v>
      </c>
      <c r="E134" s="19"/>
      <c r="F134" s="19"/>
      <c r="G134" s="19"/>
      <c r="H134" s="19"/>
      <c r="I134" s="19"/>
      <c r="J134" s="19"/>
      <c r="K134" s="19"/>
    </row>
    <row r="135" spans="1:11" ht="11.25">
      <c r="A135" s="13"/>
      <c r="B135" s="13"/>
      <c r="C135" s="13"/>
      <c r="D135" s="189">
        <f t="shared" si="0"/>
        <v>0</v>
      </c>
      <c r="E135" s="19"/>
      <c r="F135" s="19"/>
      <c r="G135" s="19"/>
      <c r="H135" s="19"/>
      <c r="I135" s="19"/>
      <c r="J135" s="19"/>
      <c r="K135" s="19"/>
    </row>
    <row r="136" spans="1:11" ht="11.25">
      <c r="A136" s="13"/>
      <c r="B136" s="13"/>
      <c r="C136" s="13"/>
      <c r="D136" s="189">
        <f aca="true" t="shared" si="1" ref="D136:D146">+A136</f>
        <v>0</v>
      </c>
      <c r="E136" s="19"/>
      <c r="F136" s="19"/>
      <c r="G136" s="19"/>
      <c r="H136" s="19"/>
      <c r="I136" s="19"/>
      <c r="J136" s="19"/>
      <c r="K136" s="19"/>
    </row>
    <row r="137" spans="1:11" ht="11.25">
      <c r="A137" s="13"/>
      <c r="B137" s="13"/>
      <c r="C137" s="13"/>
      <c r="D137" s="189">
        <f t="shared" si="1"/>
        <v>0</v>
      </c>
      <c r="E137" s="19"/>
      <c r="F137" s="19"/>
      <c r="G137" s="19"/>
      <c r="H137" s="19"/>
      <c r="I137" s="19"/>
      <c r="J137" s="19"/>
      <c r="K137" s="19"/>
    </row>
    <row r="138" spans="1:11" ht="11.25">
      <c r="A138" s="13"/>
      <c r="B138" s="13"/>
      <c r="C138" s="13"/>
      <c r="D138" s="189">
        <f t="shared" si="1"/>
        <v>0</v>
      </c>
      <c r="E138" s="19"/>
      <c r="F138" s="19"/>
      <c r="G138" s="19"/>
      <c r="H138" s="19"/>
      <c r="I138" s="19"/>
      <c r="J138" s="19"/>
      <c r="K138" s="19"/>
    </row>
    <row r="139" spans="1:11" ht="11.25">
      <c r="A139" s="13"/>
      <c r="B139" s="13"/>
      <c r="C139" s="13"/>
      <c r="D139" s="189">
        <f t="shared" si="1"/>
        <v>0</v>
      </c>
      <c r="E139" s="19"/>
      <c r="F139" s="19"/>
      <c r="G139" s="19"/>
      <c r="H139" s="19"/>
      <c r="I139" s="19"/>
      <c r="J139" s="19"/>
      <c r="K139" s="19"/>
    </row>
    <row r="140" spans="1:11" ht="11.25">
      <c r="A140" s="13"/>
      <c r="B140" s="13"/>
      <c r="C140" s="13"/>
      <c r="D140" s="189">
        <f t="shared" si="1"/>
        <v>0</v>
      </c>
      <c r="E140" s="19"/>
      <c r="F140" s="19"/>
      <c r="G140" s="19"/>
      <c r="H140" s="19"/>
      <c r="I140" s="19"/>
      <c r="J140" s="19"/>
      <c r="K140" s="19"/>
    </row>
    <row r="141" spans="1:11" ht="11.25">
      <c r="A141" s="13"/>
      <c r="B141" s="13"/>
      <c r="C141" s="13"/>
      <c r="D141" s="189">
        <f t="shared" si="1"/>
        <v>0</v>
      </c>
      <c r="E141" s="19"/>
      <c r="F141" s="19"/>
      <c r="G141" s="19"/>
      <c r="H141" s="19"/>
      <c r="I141" s="19"/>
      <c r="J141" s="19"/>
      <c r="K141" s="19"/>
    </row>
    <row r="142" spans="1:11" ht="11.25">
      <c r="A142" s="13"/>
      <c r="B142" s="13"/>
      <c r="C142" s="13"/>
      <c r="D142" s="189">
        <f t="shared" si="1"/>
        <v>0</v>
      </c>
      <c r="E142" s="19"/>
      <c r="F142" s="19"/>
      <c r="G142" s="19"/>
      <c r="H142" s="19"/>
      <c r="I142" s="19"/>
      <c r="J142" s="19"/>
      <c r="K142" s="19"/>
    </row>
    <row r="143" spans="1:11" ht="11.25">
      <c r="A143" s="13"/>
      <c r="B143" s="13"/>
      <c r="C143" s="13"/>
      <c r="D143" s="189">
        <f t="shared" si="1"/>
        <v>0</v>
      </c>
      <c r="E143" s="19"/>
      <c r="F143" s="19"/>
      <c r="G143" s="19"/>
      <c r="H143" s="19"/>
      <c r="I143" s="19"/>
      <c r="J143" s="19"/>
      <c r="K143" s="19"/>
    </row>
    <row r="144" spans="1:11" ht="11.25">
      <c r="A144" s="13"/>
      <c r="B144" s="13"/>
      <c r="C144" s="13"/>
      <c r="D144" s="189">
        <f t="shared" si="1"/>
        <v>0</v>
      </c>
      <c r="E144" s="19"/>
      <c r="F144" s="19"/>
      <c r="G144" s="19"/>
      <c r="H144" s="19"/>
      <c r="I144" s="19"/>
      <c r="J144" s="19"/>
      <c r="K144" s="19"/>
    </row>
    <row r="145" spans="1:11" ht="11.25">
      <c r="A145" s="13"/>
      <c r="B145" s="13"/>
      <c r="C145" s="13"/>
      <c r="D145" s="189">
        <f t="shared" si="1"/>
        <v>0</v>
      </c>
      <c r="E145" s="19"/>
      <c r="F145" s="19"/>
      <c r="G145" s="19"/>
      <c r="H145" s="19"/>
      <c r="I145" s="19"/>
      <c r="J145" s="19"/>
      <c r="K145" s="19"/>
    </row>
    <row r="146" spans="1:11" ht="11.25">
      <c r="A146" s="13"/>
      <c r="B146" s="13"/>
      <c r="C146" s="13"/>
      <c r="D146" s="189">
        <f t="shared" si="1"/>
        <v>0</v>
      </c>
      <c r="E146" s="19"/>
      <c r="F146" s="19"/>
      <c r="G146" s="19"/>
      <c r="H146" s="19"/>
      <c r="I146" s="19"/>
      <c r="J146" s="19"/>
      <c r="K146" s="19"/>
    </row>
    <row r="149" ht="11.25">
      <c r="A149" s="33" t="s">
        <v>36</v>
      </c>
    </row>
    <row r="150" ht="11.25">
      <c r="A150" s="33" t="s">
        <v>692</v>
      </c>
    </row>
    <row r="151" ht="11.25">
      <c r="A151" s="19"/>
    </row>
    <row r="152" ht="11.25">
      <c r="A152" s="19"/>
    </row>
    <row r="153" ht="11.25">
      <c r="A153" s="19"/>
    </row>
    <row r="154" ht="11.25">
      <c r="A154" s="19"/>
    </row>
    <row r="155" ht="11.25">
      <c r="A155" s="19"/>
    </row>
    <row r="156" ht="11.25">
      <c r="A156" s="19"/>
    </row>
    <row r="157" ht="11.25">
      <c r="A157" s="19"/>
    </row>
    <row r="158" ht="11.25">
      <c r="A158" s="19"/>
    </row>
    <row r="159" ht="11.25">
      <c r="A159" s="19"/>
    </row>
    <row r="160" ht="11.25">
      <c r="A160" s="19"/>
    </row>
    <row r="161" ht="11.25">
      <c r="A161" s="19"/>
    </row>
    <row r="162" ht="11.25">
      <c r="A162" s="19"/>
    </row>
    <row r="163" ht="11.25">
      <c r="A163" s="19"/>
    </row>
    <row r="164" ht="11.25">
      <c r="A164" s="19"/>
    </row>
    <row r="165" ht="11.25">
      <c r="A165" s="19"/>
    </row>
    <row r="168" ht="11.25">
      <c r="A168" s="950" t="s">
        <v>37</v>
      </c>
    </row>
    <row r="169" ht="11.25">
      <c r="A169" s="951" t="s">
        <v>663</v>
      </c>
    </row>
    <row r="170" ht="11.25">
      <c r="A170" s="19"/>
    </row>
    <row r="171" ht="11.25">
      <c r="A171" s="19"/>
    </row>
    <row r="172" ht="11.25">
      <c r="A172" s="19"/>
    </row>
    <row r="173" ht="11.25">
      <c r="A173" s="19"/>
    </row>
    <row r="174" ht="11.25">
      <c r="A174" s="19"/>
    </row>
    <row r="175" ht="11.25">
      <c r="A175" s="19"/>
    </row>
    <row r="176" ht="11.25">
      <c r="A176" s="19"/>
    </row>
    <row r="177" ht="11.25">
      <c r="A177" s="19"/>
    </row>
    <row r="178" ht="11.25">
      <c r="A178" s="19"/>
    </row>
    <row r="179" ht="11.25">
      <c r="A179" s="19"/>
    </row>
    <row r="180" ht="11.25">
      <c r="A180" s="19"/>
    </row>
    <row r="181" ht="11.25">
      <c r="A181" s="19"/>
    </row>
    <row r="182" ht="11.25">
      <c r="A182" s="19"/>
    </row>
    <row r="183" ht="11.25">
      <c r="A183" s="19"/>
    </row>
    <row r="184" ht="11.25">
      <c r="A184" s="19"/>
    </row>
    <row r="185" ht="11.25">
      <c r="A185" s="19"/>
    </row>
    <row r="186" ht="11.25">
      <c r="A186" s="19"/>
    </row>
    <row r="187" ht="11.25">
      <c r="A187" s="19"/>
    </row>
    <row r="188" ht="11.25">
      <c r="A188" s="19"/>
    </row>
    <row r="189" ht="11.25">
      <c r="A189" s="19"/>
    </row>
    <row r="190" ht="11.25">
      <c r="A190" s="19"/>
    </row>
    <row r="191" ht="11.25">
      <c r="A191" s="19"/>
    </row>
    <row r="192" ht="11.25">
      <c r="A192" s="19"/>
    </row>
    <row r="193" ht="11.25">
      <c r="A193" s="19"/>
    </row>
    <row r="194" ht="11.25">
      <c r="A194" s="19"/>
    </row>
    <row r="195" ht="11.25">
      <c r="A195" s="19"/>
    </row>
    <row r="196" ht="11.25">
      <c r="A196" s="19"/>
    </row>
    <row r="197" ht="11.25">
      <c r="A197" s="19"/>
    </row>
    <row r="198" ht="11.25">
      <c r="A198" s="19"/>
    </row>
    <row r="199" ht="11.25">
      <c r="A199" s="19"/>
    </row>
    <row r="200" ht="11.25">
      <c r="A200" s="19"/>
    </row>
    <row r="201" ht="11.25">
      <c r="A201" s="19"/>
    </row>
    <row r="202" ht="11.25">
      <c r="A202" s="19"/>
    </row>
    <row r="203" ht="11.25">
      <c r="A203" s="19"/>
    </row>
    <row r="204" ht="11.25">
      <c r="A204" s="19"/>
    </row>
    <row r="205" ht="11.25">
      <c r="A205" s="19"/>
    </row>
    <row r="206" ht="11.25">
      <c r="A206" s="19"/>
    </row>
    <row r="207" ht="11.25">
      <c r="A207" s="19"/>
    </row>
    <row r="208" ht="11.25">
      <c r="A208" s="19"/>
    </row>
    <row r="209" ht="11.25">
      <c r="A209" s="19"/>
    </row>
    <row r="210" ht="11.25">
      <c r="A210" s="19"/>
    </row>
    <row r="211" ht="11.25">
      <c r="A211" s="19"/>
    </row>
    <row r="212" ht="11.25">
      <c r="A212" s="19"/>
    </row>
    <row r="213" ht="11.25">
      <c r="A213" s="19"/>
    </row>
    <row r="214" ht="11.25">
      <c r="A214" s="19"/>
    </row>
    <row r="215" ht="11.25">
      <c r="A215" s="19"/>
    </row>
    <row r="216" ht="11.25">
      <c r="A216" s="19"/>
    </row>
    <row r="217" ht="11.25">
      <c r="A217" s="19"/>
    </row>
    <row r="218" ht="11.25">
      <c r="A218" s="19"/>
    </row>
    <row r="219" ht="11.25">
      <c r="A219" s="19"/>
    </row>
    <row r="222" ht="11.25">
      <c r="A222" s="12" t="s">
        <v>1051</v>
      </c>
    </row>
    <row r="223" spans="1:5" ht="11.25">
      <c r="A223" s="12" t="s">
        <v>149</v>
      </c>
      <c r="B223" s="12" t="s">
        <v>74</v>
      </c>
      <c r="C223" s="952" t="s">
        <v>853</v>
      </c>
      <c r="D223" s="953"/>
      <c r="E223" s="954"/>
    </row>
    <row r="224" spans="1:5" ht="11.25">
      <c r="A224" s="14"/>
      <c r="B224" s="14"/>
      <c r="C224" s="365"/>
      <c r="D224" s="955"/>
      <c r="E224" s="115"/>
    </row>
    <row r="225" spans="1:5" ht="11.25">
      <c r="A225" s="14"/>
      <c r="B225" s="14"/>
      <c r="C225" s="365"/>
      <c r="D225" s="955"/>
      <c r="E225" s="115"/>
    </row>
    <row r="226" spans="1:5" ht="11.25">
      <c r="A226" s="14"/>
      <c r="B226" s="14"/>
      <c r="C226" s="365"/>
      <c r="D226" s="955"/>
      <c r="E226" s="115"/>
    </row>
    <row r="227" spans="1:5" ht="11.25">
      <c r="A227" s="14"/>
      <c r="B227" s="14"/>
      <c r="C227" s="365"/>
      <c r="D227" s="955"/>
      <c r="E227" s="115"/>
    </row>
    <row r="228" spans="1:5" ht="11.25">
      <c r="A228" s="14"/>
      <c r="B228" s="14" t="s">
        <v>138</v>
      </c>
      <c r="C228" s="365"/>
      <c r="D228" s="955"/>
      <c r="E228" s="115"/>
    </row>
    <row r="229" spans="1:5" ht="11.25">
      <c r="A229" s="14"/>
      <c r="B229" s="14"/>
      <c r="C229" s="365"/>
      <c r="D229" s="955"/>
      <c r="E229" s="115"/>
    </row>
    <row r="230" spans="1:5" ht="11.25">
      <c r="A230" s="14"/>
      <c r="B230" s="14"/>
      <c r="C230" s="365"/>
      <c r="D230" s="955"/>
      <c r="E230" s="115"/>
    </row>
    <row r="231" spans="1:5" ht="11.25">
      <c r="A231" s="14"/>
      <c r="B231" s="14"/>
      <c r="C231" s="365"/>
      <c r="D231" s="955"/>
      <c r="E231" s="115"/>
    </row>
    <row r="232" spans="1:5" ht="11.25">
      <c r="A232" s="14"/>
      <c r="B232" s="14"/>
      <c r="C232" s="365"/>
      <c r="D232" s="955"/>
      <c r="E232" s="115"/>
    </row>
    <row r="233" spans="1:5" ht="11.25">
      <c r="A233" s="14"/>
      <c r="B233" s="14"/>
      <c r="C233" s="365"/>
      <c r="D233" s="955"/>
      <c r="E233" s="115"/>
    </row>
    <row r="234" spans="1:5" ht="11.25">
      <c r="A234" s="14"/>
      <c r="B234" s="14"/>
      <c r="C234" s="365"/>
      <c r="D234" s="955"/>
      <c r="E234" s="115"/>
    </row>
    <row r="235" spans="1:5" ht="11.25">
      <c r="A235" s="14"/>
      <c r="B235" s="14"/>
      <c r="C235" s="365"/>
      <c r="D235" s="955"/>
      <c r="E235" s="115"/>
    </row>
    <row r="236" spans="1:5" ht="11.25">
      <c r="A236" s="14"/>
      <c r="B236" s="14"/>
      <c r="C236" s="365"/>
      <c r="D236" s="955"/>
      <c r="E236" s="115"/>
    </row>
    <row r="237" spans="1:5" ht="11.25">
      <c r="A237" s="14"/>
      <c r="B237" s="14"/>
      <c r="C237" s="365"/>
      <c r="D237" s="955"/>
      <c r="E237" s="115"/>
    </row>
    <row r="238" spans="1:5" ht="11.25">
      <c r="A238" s="14"/>
      <c r="B238" s="14"/>
      <c r="C238" s="365"/>
      <c r="D238" s="955"/>
      <c r="E238" s="115"/>
    </row>
    <row r="239" spans="1:5" ht="11.25">
      <c r="A239" s="115"/>
      <c r="B239" s="115"/>
      <c r="C239" s="115"/>
      <c r="D239" s="115"/>
      <c r="E239" s="115"/>
    </row>
    <row r="240" spans="1:5" ht="11.25">
      <c r="A240" s="115"/>
      <c r="B240" s="115"/>
      <c r="C240" s="115"/>
      <c r="D240" s="115"/>
      <c r="E240" s="115"/>
    </row>
    <row r="241" spans="1:5" ht="11.25">
      <c r="A241" s="9" t="s">
        <v>38</v>
      </c>
      <c r="C241" s="956"/>
      <c r="D241" s="957"/>
      <c r="E241" s="115"/>
    </row>
    <row r="242" spans="1:5" ht="11.25">
      <c r="A242" s="958" t="s">
        <v>75</v>
      </c>
      <c r="B242" s="959" t="s">
        <v>1044</v>
      </c>
      <c r="C242" s="959" t="s">
        <v>1026</v>
      </c>
      <c r="D242" s="959" t="s">
        <v>150</v>
      </c>
      <c r="E242" s="960" t="s">
        <v>690</v>
      </c>
    </row>
    <row r="243" spans="1:5" ht="11.25">
      <c r="A243" s="13" t="s">
        <v>147</v>
      </c>
      <c r="B243" s="13" t="s">
        <v>981</v>
      </c>
      <c r="C243" s="13" t="s">
        <v>989</v>
      </c>
      <c r="D243" s="29" t="str">
        <f aca="true" t="shared" si="2" ref="D243:D261">B243&amp;"  "&amp;C243</f>
        <v>Prest Conc I-Beams  LinFt</v>
      </c>
      <c r="E243" s="19" t="s">
        <v>676</v>
      </c>
    </row>
    <row r="244" spans="1:5" ht="11.25">
      <c r="A244" s="13" t="s">
        <v>85</v>
      </c>
      <c r="B244" s="13" t="s">
        <v>982</v>
      </c>
      <c r="C244" s="13" t="s">
        <v>87</v>
      </c>
      <c r="D244" s="29" t="str">
        <f t="shared" si="2"/>
        <v>Prest Conc I-Beam  Meter</v>
      </c>
      <c r="E244" s="19" t="s">
        <v>677</v>
      </c>
    </row>
    <row r="245" spans="1:5" ht="11.25">
      <c r="A245" s="15" t="s">
        <v>872</v>
      </c>
      <c r="B245" s="16" t="s">
        <v>983</v>
      </c>
      <c r="C245" s="13" t="s">
        <v>989</v>
      </c>
      <c r="D245" s="29" t="str">
        <f t="shared" si="2"/>
        <v>Prest Bulb T Beam  LinFt</v>
      </c>
      <c r="E245" s="19" t="s">
        <v>990</v>
      </c>
    </row>
    <row r="246" spans="1:5" ht="11.25">
      <c r="A246" s="13" t="s">
        <v>873</v>
      </c>
      <c r="B246" s="17" t="s">
        <v>983</v>
      </c>
      <c r="C246" s="13" t="s">
        <v>87</v>
      </c>
      <c r="D246" s="29" t="str">
        <f t="shared" si="2"/>
        <v>Prest Bulb T Beam  Meter</v>
      </c>
      <c r="E246" s="19" t="s">
        <v>991</v>
      </c>
    </row>
    <row r="247" spans="1:5" ht="11.25">
      <c r="A247" s="13" t="s">
        <v>148</v>
      </c>
      <c r="B247" s="13" t="s">
        <v>95</v>
      </c>
      <c r="C247" s="13" t="s">
        <v>88</v>
      </c>
      <c r="D247" s="29" t="str">
        <f t="shared" si="2"/>
        <v>Prest Conc Box-Beam  SqFt</v>
      </c>
      <c r="E247" s="19" t="s">
        <v>676</v>
      </c>
    </row>
    <row r="248" spans="1:5" ht="11.25">
      <c r="A248" s="13" t="s">
        <v>86</v>
      </c>
      <c r="B248" s="13" t="s">
        <v>95</v>
      </c>
      <c r="C248" s="13" t="s">
        <v>89</v>
      </c>
      <c r="D248" s="29" t="str">
        <f t="shared" si="2"/>
        <v>Prest Conc Box-Beam  Sq M</v>
      </c>
      <c r="E248" s="19" t="s">
        <v>677</v>
      </c>
    </row>
    <row r="249" spans="1:5" ht="11.25">
      <c r="A249" s="13" t="s">
        <v>874</v>
      </c>
      <c r="B249" s="13" t="s">
        <v>984</v>
      </c>
      <c r="C249" s="13" t="s">
        <v>989</v>
      </c>
      <c r="D249" s="29" t="str">
        <f t="shared" si="2"/>
        <v>Prest Solid Profile Beam  LinFt</v>
      </c>
      <c r="E249" s="19" t="s">
        <v>990</v>
      </c>
    </row>
    <row r="250" spans="1:5" ht="11.25">
      <c r="A250" s="13" t="s">
        <v>875</v>
      </c>
      <c r="B250" s="13" t="s">
        <v>984</v>
      </c>
      <c r="C250" s="13" t="s">
        <v>87</v>
      </c>
      <c r="D250" s="29" t="str">
        <f t="shared" si="2"/>
        <v>Prest Solid Profile Beam  Meter</v>
      </c>
      <c r="E250" s="19" t="s">
        <v>991</v>
      </c>
    </row>
    <row r="251" spans="1:5" ht="11.25">
      <c r="A251" s="13" t="s">
        <v>876</v>
      </c>
      <c r="B251" s="13" t="s">
        <v>985</v>
      </c>
      <c r="C251" s="13" t="s">
        <v>88</v>
      </c>
      <c r="D251" s="29" t="str">
        <f t="shared" si="2"/>
        <v>Prest Deck Plank  SqFt</v>
      </c>
      <c r="E251" s="19" t="s">
        <v>676</v>
      </c>
    </row>
    <row r="252" spans="1:5" ht="11.25">
      <c r="A252" s="13" t="s">
        <v>877</v>
      </c>
      <c r="B252" s="13" t="s">
        <v>985</v>
      </c>
      <c r="C252" s="13" t="s">
        <v>89</v>
      </c>
      <c r="D252" s="29" t="str">
        <f t="shared" si="2"/>
        <v>Prest Deck Plank  Sq M</v>
      </c>
      <c r="E252" s="19" t="s">
        <v>677</v>
      </c>
    </row>
    <row r="253" spans="1:5" ht="11.25">
      <c r="A253" s="13" t="s">
        <v>878</v>
      </c>
      <c r="B253" s="13" t="s">
        <v>986</v>
      </c>
      <c r="C253" s="13" t="s">
        <v>989</v>
      </c>
      <c r="D253" s="29" t="str">
        <f t="shared" si="2"/>
        <v>Prest Retaining Wall  LinFt</v>
      </c>
      <c r="E253" s="19" t="s">
        <v>992</v>
      </c>
    </row>
    <row r="254" spans="1:5" ht="11.25">
      <c r="A254" s="13" t="s">
        <v>879</v>
      </c>
      <c r="B254" s="13" t="s">
        <v>986</v>
      </c>
      <c r="C254" s="13" t="s">
        <v>87</v>
      </c>
      <c r="D254" s="29" t="str">
        <f t="shared" si="2"/>
        <v>Prest Retaining Wall  Meter</v>
      </c>
      <c r="E254" s="19" t="s">
        <v>993</v>
      </c>
    </row>
    <row r="255" spans="1:5" ht="11.25">
      <c r="A255" s="13" t="s">
        <v>977</v>
      </c>
      <c r="B255" s="13" t="s">
        <v>987</v>
      </c>
      <c r="C255" s="13" t="s">
        <v>989</v>
      </c>
      <c r="D255" s="29" t="str">
        <f t="shared" si="2"/>
        <v>Precast Piling  LinFt</v>
      </c>
      <c r="E255" s="19" t="s">
        <v>994</v>
      </c>
    </row>
    <row r="256" spans="1:5" ht="11.25">
      <c r="A256" s="13" t="s">
        <v>978</v>
      </c>
      <c r="B256" s="13" t="s">
        <v>987</v>
      </c>
      <c r="C256" s="13" t="s">
        <v>87</v>
      </c>
      <c r="D256" s="29" t="str">
        <f t="shared" si="2"/>
        <v>Precast Piling  Meter</v>
      </c>
      <c r="E256" s="19" t="s">
        <v>995</v>
      </c>
    </row>
    <row r="257" spans="1:5" ht="11.25">
      <c r="A257" s="13" t="s">
        <v>979</v>
      </c>
      <c r="B257" s="13" t="s">
        <v>988</v>
      </c>
      <c r="C257" s="13" t="s">
        <v>989</v>
      </c>
      <c r="D257" s="29" t="str">
        <f t="shared" si="2"/>
        <v>Prest Prec Piling  LinFt</v>
      </c>
      <c r="E257" s="19" t="s">
        <v>994</v>
      </c>
    </row>
    <row r="258" spans="1:5" ht="11.25">
      <c r="A258" s="13" t="s">
        <v>980</v>
      </c>
      <c r="B258" s="13" t="s">
        <v>988</v>
      </c>
      <c r="C258" s="13" t="s">
        <v>87</v>
      </c>
      <c r="D258" s="29" t="str">
        <f t="shared" si="2"/>
        <v>Prest Prec Piling  Meter</v>
      </c>
      <c r="E258" s="19" t="s">
        <v>995</v>
      </c>
    </row>
    <row r="259" spans="1:5" ht="11.25">
      <c r="A259" s="13"/>
      <c r="B259" s="13"/>
      <c r="C259" s="13"/>
      <c r="D259" s="29" t="str">
        <f t="shared" si="2"/>
        <v>  </v>
      </c>
      <c r="E259" s="19"/>
    </row>
    <row r="260" spans="1:5" ht="11.25">
      <c r="A260" s="13"/>
      <c r="B260" s="13"/>
      <c r="C260" s="13"/>
      <c r="D260" s="29" t="str">
        <f t="shared" si="2"/>
        <v>  </v>
      </c>
      <c r="E260" s="19"/>
    </row>
    <row r="261" spans="1:5" ht="11.25">
      <c r="A261" s="13"/>
      <c r="B261" s="13"/>
      <c r="C261" s="13"/>
      <c r="D261" s="29" t="str">
        <f t="shared" si="2"/>
        <v>  </v>
      </c>
      <c r="E261" s="19"/>
    </row>
    <row r="262" spans="1:4" ht="11.25">
      <c r="A262" s="116"/>
      <c r="B262" s="116"/>
      <c r="C262" s="116"/>
      <c r="D262" s="116"/>
    </row>
    <row r="264" spans="3:8" ht="15.75">
      <c r="C264" s="190"/>
      <c r="D264" s="191" t="s">
        <v>44</v>
      </c>
      <c r="E264" s="190"/>
      <c r="F264" s="1059" t="s">
        <v>861</v>
      </c>
      <c r="G264" s="1060"/>
      <c r="H264" s="1060"/>
    </row>
    <row r="265" spans="1:22" ht="11.25">
      <c r="A265" s="9" t="s">
        <v>39</v>
      </c>
      <c r="B265" s="961"/>
      <c r="C265" s="961"/>
      <c r="D265" s="962"/>
      <c r="E265" s="962"/>
      <c r="F265" s="962"/>
      <c r="G265" s="962"/>
      <c r="H265" s="962"/>
      <c r="I265" s="962"/>
      <c r="J265" s="962"/>
      <c r="K265" s="962"/>
      <c r="L265" s="962"/>
      <c r="M265" s="962"/>
      <c r="N265" s="962"/>
      <c r="O265" s="962"/>
      <c r="P265" s="962"/>
      <c r="Q265" s="962"/>
      <c r="R265" s="962"/>
      <c r="S265" s="962"/>
      <c r="T265" s="962"/>
      <c r="U265" s="962"/>
      <c r="V265" s="962"/>
    </row>
    <row r="266" spans="1:35" ht="11.25">
      <c r="A266" s="963" t="s">
        <v>1237</v>
      </c>
      <c r="B266" s="963" t="s">
        <v>33</v>
      </c>
      <c r="C266" s="964" t="s">
        <v>1241</v>
      </c>
      <c r="D266" s="964" t="s">
        <v>1244</v>
      </c>
      <c r="E266" s="964" t="s">
        <v>1243</v>
      </c>
      <c r="F266" s="965" t="s">
        <v>1240</v>
      </c>
      <c r="G266" s="965" t="s">
        <v>1245</v>
      </c>
      <c r="H266" s="965" t="s">
        <v>1246</v>
      </c>
      <c r="I266" s="965" t="s">
        <v>1247</v>
      </c>
      <c r="J266" s="965" t="s">
        <v>1248</v>
      </c>
      <c r="K266" s="965" t="s">
        <v>1249</v>
      </c>
      <c r="L266" s="965" t="s">
        <v>1250</v>
      </c>
      <c r="M266" s="965" t="s">
        <v>1251</v>
      </c>
      <c r="N266" s="965" t="s">
        <v>1252</v>
      </c>
      <c r="O266" s="965" t="s">
        <v>1253</v>
      </c>
      <c r="P266" s="965" t="s">
        <v>1254</v>
      </c>
      <c r="Q266" s="965" t="s">
        <v>1255</v>
      </c>
      <c r="R266" s="965" t="s">
        <v>1256</v>
      </c>
      <c r="S266" s="965" t="s">
        <v>1257</v>
      </c>
      <c r="T266" s="965" t="s">
        <v>1258</v>
      </c>
      <c r="U266" s="965" t="s">
        <v>1259</v>
      </c>
      <c r="V266" s="965" t="s">
        <v>1260</v>
      </c>
      <c r="W266" s="965" t="s">
        <v>1261</v>
      </c>
      <c r="X266" s="965" t="s">
        <v>1262</v>
      </c>
      <c r="Y266" s="965" t="s">
        <v>0</v>
      </c>
      <c r="Z266" s="965" t="s">
        <v>1</v>
      </c>
      <c r="AA266" s="965" t="s">
        <v>2</v>
      </c>
      <c r="AB266" s="965" t="s">
        <v>3</v>
      </c>
      <c r="AC266" s="965" t="s">
        <v>4</v>
      </c>
      <c r="AD266" s="966" t="s">
        <v>5</v>
      </c>
      <c r="AE266" s="966" t="s">
        <v>6</v>
      </c>
      <c r="AF266" s="967" t="s">
        <v>7</v>
      </c>
      <c r="AG266" s="966" t="s">
        <v>28</v>
      </c>
      <c r="AH266" s="966" t="s">
        <v>29</v>
      </c>
      <c r="AI266" s="967" t="s">
        <v>30</v>
      </c>
    </row>
    <row r="267" spans="1:35" ht="11.25">
      <c r="A267" s="19"/>
      <c r="B267" s="19"/>
      <c r="C267" s="14"/>
      <c r="D267" s="14"/>
      <c r="E267" s="14"/>
      <c r="F267" s="14"/>
      <c r="G267" s="14"/>
      <c r="H267" s="14"/>
      <c r="I267" s="176"/>
      <c r="J267" s="176"/>
      <c r="K267" s="176"/>
      <c r="L267" s="176"/>
      <c r="M267" s="176"/>
      <c r="N267" s="176"/>
      <c r="O267" s="176"/>
      <c r="P267" s="176"/>
      <c r="Q267" s="176"/>
      <c r="R267" s="176"/>
      <c r="S267" s="176"/>
      <c r="T267" s="176"/>
      <c r="U267" s="176"/>
      <c r="V267" s="176"/>
      <c r="W267" s="176"/>
      <c r="X267" s="176"/>
      <c r="Y267" s="176"/>
      <c r="Z267" s="176"/>
      <c r="AA267" s="176"/>
      <c r="AB267" s="176"/>
      <c r="AC267" s="176"/>
      <c r="AD267" s="177"/>
      <c r="AE267" s="176"/>
      <c r="AF267" s="176"/>
      <c r="AG267" s="177"/>
      <c r="AH267" s="176"/>
      <c r="AI267" s="176"/>
    </row>
    <row r="268" spans="1:35" ht="11.25">
      <c r="A268" s="19"/>
      <c r="B268" s="19"/>
      <c r="C268" s="14"/>
      <c r="D268" s="14"/>
      <c r="E268" s="14"/>
      <c r="F268" s="14"/>
      <c r="G268" s="14"/>
      <c r="H268" s="14"/>
      <c r="I268" s="176"/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6"/>
      <c r="U268" s="176"/>
      <c r="V268" s="176"/>
      <c r="W268" s="176"/>
      <c r="X268" s="176"/>
      <c r="Y268" s="176"/>
      <c r="Z268" s="176"/>
      <c r="AA268" s="176"/>
      <c r="AB268" s="176"/>
      <c r="AC268" s="176"/>
      <c r="AD268" s="177"/>
      <c r="AE268" s="176"/>
      <c r="AF268" s="176"/>
      <c r="AG268" s="177"/>
      <c r="AH268" s="176"/>
      <c r="AI268" s="176"/>
    </row>
    <row r="269" spans="1:35" ht="11.25">
      <c r="A269" s="19"/>
      <c r="B269" s="19"/>
      <c r="C269" s="14"/>
      <c r="D269" s="14"/>
      <c r="E269" s="14"/>
      <c r="F269" s="14"/>
      <c r="G269" s="14"/>
      <c r="H269" s="14"/>
      <c r="I269" s="176"/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  <c r="V269" s="176"/>
      <c r="W269" s="176"/>
      <c r="X269" s="176"/>
      <c r="Y269" s="176"/>
      <c r="Z269" s="176"/>
      <c r="AA269" s="176"/>
      <c r="AB269" s="176"/>
      <c r="AC269" s="176"/>
      <c r="AD269" s="177"/>
      <c r="AE269" s="176"/>
      <c r="AF269" s="176"/>
      <c r="AG269" s="177"/>
      <c r="AH269" s="176"/>
      <c r="AI269" s="176"/>
    </row>
    <row r="270" spans="1:35" ht="11.25">
      <c r="A270" s="19"/>
      <c r="B270" s="19"/>
      <c r="C270" s="14"/>
      <c r="D270" s="14"/>
      <c r="E270" s="14"/>
      <c r="F270" s="14"/>
      <c r="G270" s="14"/>
      <c r="H270" s="14"/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  <c r="U270" s="176"/>
      <c r="V270" s="176"/>
      <c r="W270" s="176"/>
      <c r="X270" s="176"/>
      <c r="Y270" s="176"/>
      <c r="Z270" s="176"/>
      <c r="AA270" s="176"/>
      <c r="AB270" s="176"/>
      <c r="AC270" s="176"/>
      <c r="AD270" s="177"/>
      <c r="AE270" s="176"/>
      <c r="AF270" s="176"/>
      <c r="AG270" s="177"/>
      <c r="AH270" s="176"/>
      <c r="AI270" s="176"/>
    </row>
    <row r="271" spans="1:35" ht="11.25">
      <c r="A271" s="19"/>
      <c r="B271" s="19"/>
      <c r="C271" s="14"/>
      <c r="D271" s="14"/>
      <c r="E271" s="14"/>
      <c r="F271" s="14"/>
      <c r="G271" s="14"/>
      <c r="H271" s="14"/>
      <c r="I271" s="176"/>
      <c r="J271" s="176"/>
      <c r="K271" s="176"/>
      <c r="L271" s="176"/>
      <c r="M271" s="176"/>
      <c r="N271" s="176"/>
      <c r="O271" s="176"/>
      <c r="P271" s="176"/>
      <c r="Q271" s="176"/>
      <c r="R271" s="176"/>
      <c r="S271" s="176"/>
      <c r="T271" s="176"/>
      <c r="U271" s="176"/>
      <c r="V271" s="176"/>
      <c r="W271" s="176"/>
      <c r="X271" s="176"/>
      <c r="Y271" s="176"/>
      <c r="Z271" s="176"/>
      <c r="AA271" s="176"/>
      <c r="AB271" s="176"/>
      <c r="AC271" s="176"/>
      <c r="AD271" s="177"/>
      <c r="AE271" s="176"/>
      <c r="AF271" s="176"/>
      <c r="AG271" s="177"/>
      <c r="AH271" s="176"/>
      <c r="AI271" s="176"/>
    </row>
    <row r="272" spans="1:35" ht="11.25">
      <c r="A272" s="19"/>
      <c r="B272" s="19"/>
      <c r="C272" s="19"/>
      <c r="D272" s="19"/>
      <c r="E272" s="19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  <c r="AA272" s="176"/>
      <c r="AB272" s="176"/>
      <c r="AC272" s="176"/>
      <c r="AD272" s="177"/>
      <c r="AE272" s="177"/>
      <c r="AF272" s="176"/>
      <c r="AG272" s="177"/>
      <c r="AH272" s="177"/>
      <c r="AI272" s="176"/>
    </row>
    <row r="273" spans="1:35" ht="11.25">
      <c r="A273" s="19"/>
      <c r="B273" s="19"/>
      <c r="C273" s="19"/>
      <c r="D273" s="19"/>
      <c r="E273" s="19"/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  <c r="W273" s="176"/>
      <c r="X273" s="176"/>
      <c r="Y273" s="176"/>
      <c r="Z273" s="176"/>
      <c r="AA273" s="176"/>
      <c r="AB273" s="176"/>
      <c r="AC273" s="176"/>
      <c r="AD273" s="177"/>
      <c r="AE273" s="177"/>
      <c r="AF273" s="176"/>
      <c r="AG273" s="177"/>
      <c r="AH273" s="177"/>
      <c r="AI273" s="176"/>
    </row>
    <row r="274" spans="1:35" ht="11.25">
      <c r="A274" s="19"/>
      <c r="B274" s="19"/>
      <c r="C274" s="19"/>
      <c r="D274" s="19"/>
      <c r="E274" s="19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6"/>
      <c r="Y274" s="176"/>
      <c r="Z274" s="176"/>
      <c r="AA274" s="176"/>
      <c r="AB274" s="176"/>
      <c r="AC274" s="176"/>
      <c r="AD274" s="177"/>
      <c r="AE274" s="177"/>
      <c r="AF274" s="176"/>
      <c r="AG274" s="177"/>
      <c r="AH274" s="177"/>
      <c r="AI274" s="176"/>
    </row>
    <row r="275" spans="1:35" ht="11.25">
      <c r="A275" s="19"/>
      <c r="B275" s="19"/>
      <c r="C275" s="19"/>
      <c r="D275" s="19"/>
      <c r="E275" s="19"/>
      <c r="F275" s="176"/>
      <c r="G275" s="176"/>
      <c r="H275" s="176"/>
      <c r="I275" s="176"/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  <c r="W275" s="176"/>
      <c r="X275" s="176"/>
      <c r="Y275" s="176"/>
      <c r="Z275" s="176"/>
      <c r="AA275" s="176"/>
      <c r="AB275" s="176"/>
      <c r="AC275" s="176"/>
      <c r="AD275" s="177"/>
      <c r="AE275" s="177"/>
      <c r="AF275" s="176"/>
      <c r="AG275" s="177"/>
      <c r="AH275" s="177"/>
      <c r="AI275" s="176"/>
    </row>
    <row r="276" spans="1:35" ht="11.25">
      <c r="A276" s="19"/>
      <c r="B276" s="19"/>
      <c r="C276" s="19"/>
      <c r="D276" s="19"/>
      <c r="E276" s="19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  <c r="AA276" s="176"/>
      <c r="AB276" s="176"/>
      <c r="AC276" s="176"/>
      <c r="AD276" s="177"/>
      <c r="AE276" s="177"/>
      <c r="AF276" s="176"/>
      <c r="AG276" s="177"/>
      <c r="AH276" s="177"/>
      <c r="AI276" s="176"/>
    </row>
    <row r="277" spans="1:35" ht="11.25">
      <c r="A277" s="19"/>
      <c r="B277" s="19"/>
      <c r="C277" s="19"/>
      <c r="D277" s="19"/>
      <c r="E277" s="19"/>
      <c r="F277" s="176"/>
      <c r="G277" s="176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6"/>
      <c r="W277" s="176"/>
      <c r="X277" s="176"/>
      <c r="Y277" s="176"/>
      <c r="Z277" s="176"/>
      <c r="AA277" s="176"/>
      <c r="AB277" s="176"/>
      <c r="AC277" s="176"/>
      <c r="AD277" s="177"/>
      <c r="AE277" s="177"/>
      <c r="AF277" s="176"/>
      <c r="AG277" s="177"/>
      <c r="AH277" s="177"/>
      <c r="AI277" s="176"/>
    </row>
    <row r="278" spans="1:35" ht="11.25">
      <c r="A278" s="19"/>
      <c r="B278" s="19"/>
      <c r="C278" s="19"/>
      <c r="D278" s="19"/>
      <c r="E278" s="19"/>
      <c r="F278" s="176"/>
      <c r="G278" s="176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  <c r="W278" s="176"/>
      <c r="X278" s="176"/>
      <c r="Y278" s="176"/>
      <c r="Z278" s="176"/>
      <c r="AA278" s="176"/>
      <c r="AB278" s="176"/>
      <c r="AC278" s="176"/>
      <c r="AD278" s="177"/>
      <c r="AE278" s="177"/>
      <c r="AF278" s="176"/>
      <c r="AG278" s="177"/>
      <c r="AH278" s="177"/>
      <c r="AI278" s="176"/>
    </row>
    <row r="279" spans="1:35" ht="11.25">
      <c r="A279" s="19"/>
      <c r="B279" s="19"/>
      <c r="C279" s="19"/>
      <c r="D279" s="19"/>
      <c r="E279" s="19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  <c r="W279" s="176"/>
      <c r="X279" s="176"/>
      <c r="Y279" s="176"/>
      <c r="Z279" s="176"/>
      <c r="AA279" s="176"/>
      <c r="AB279" s="176"/>
      <c r="AC279" s="176"/>
      <c r="AD279" s="177"/>
      <c r="AE279" s="177"/>
      <c r="AF279" s="176"/>
      <c r="AG279" s="177"/>
      <c r="AH279" s="177"/>
      <c r="AI279" s="176"/>
    </row>
    <row r="280" spans="1:35" ht="11.25">
      <c r="A280" s="19"/>
      <c r="B280" s="19"/>
      <c r="C280" s="19"/>
      <c r="D280" s="19"/>
      <c r="E280" s="19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6"/>
      <c r="S280" s="176"/>
      <c r="T280" s="176"/>
      <c r="U280" s="176"/>
      <c r="V280" s="176"/>
      <c r="W280" s="176"/>
      <c r="X280" s="176"/>
      <c r="Y280" s="176"/>
      <c r="Z280" s="176"/>
      <c r="AA280" s="176"/>
      <c r="AB280" s="176"/>
      <c r="AC280" s="176"/>
      <c r="AD280" s="177"/>
      <c r="AE280" s="177"/>
      <c r="AF280" s="176"/>
      <c r="AG280" s="177"/>
      <c r="AH280" s="177"/>
      <c r="AI280" s="176"/>
    </row>
    <row r="281" spans="1:35" ht="11.25">
      <c r="A281" s="19"/>
      <c r="B281" s="19"/>
      <c r="C281" s="19"/>
      <c r="D281" s="19"/>
      <c r="E281" s="19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  <c r="Y281" s="176"/>
      <c r="Z281" s="176"/>
      <c r="AA281" s="176"/>
      <c r="AB281" s="176"/>
      <c r="AC281" s="176"/>
      <c r="AD281" s="177"/>
      <c r="AE281" s="177"/>
      <c r="AF281" s="176"/>
      <c r="AG281" s="177"/>
      <c r="AH281" s="177"/>
      <c r="AI281" s="176"/>
    </row>
    <row r="282" spans="1:35" ht="11.25">
      <c r="A282" s="19"/>
      <c r="B282" s="19"/>
      <c r="C282" s="19"/>
      <c r="D282" s="19"/>
      <c r="E282" s="19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  <c r="W282" s="176"/>
      <c r="X282" s="176"/>
      <c r="Y282" s="176"/>
      <c r="Z282" s="176"/>
      <c r="AA282" s="176"/>
      <c r="AB282" s="176"/>
      <c r="AC282" s="176"/>
      <c r="AD282" s="177"/>
      <c r="AE282" s="177"/>
      <c r="AF282" s="176"/>
      <c r="AG282" s="177"/>
      <c r="AH282" s="177"/>
      <c r="AI282" s="176"/>
    </row>
    <row r="283" spans="1:35" ht="11.25">
      <c r="A283" s="19"/>
      <c r="B283" s="19"/>
      <c r="C283" s="19"/>
      <c r="D283" s="19"/>
      <c r="E283" s="19"/>
      <c r="F283" s="176"/>
      <c r="G283" s="176"/>
      <c r="H283" s="176"/>
      <c r="I283" s="176"/>
      <c r="J283" s="176"/>
      <c r="K283" s="176"/>
      <c r="L283" s="176"/>
      <c r="M283" s="176"/>
      <c r="N283" s="176"/>
      <c r="O283" s="176"/>
      <c r="P283" s="176"/>
      <c r="Q283" s="176"/>
      <c r="R283" s="176"/>
      <c r="S283" s="176"/>
      <c r="T283" s="176"/>
      <c r="U283" s="176"/>
      <c r="V283" s="176"/>
      <c r="W283" s="176"/>
      <c r="X283" s="176"/>
      <c r="Y283" s="176"/>
      <c r="Z283" s="176"/>
      <c r="AA283" s="176"/>
      <c r="AB283" s="176"/>
      <c r="AC283" s="176"/>
      <c r="AD283" s="177"/>
      <c r="AE283" s="177"/>
      <c r="AF283" s="176"/>
      <c r="AG283" s="177"/>
      <c r="AH283" s="177"/>
      <c r="AI283" s="176"/>
    </row>
    <row r="284" spans="1:35" ht="11.25">
      <c r="A284" s="19"/>
      <c r="B284" s="19"/>
      <c r="C284" s="19"/>
      <c r="D284" s="19"/>
      <c r="E284" s="19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6"/>
      <c r="V284" s="176"/>
      <c r="W284" s="176"/>
      <c r="X284" s="176"/>
      <c r="Y284" s="176"/>
      <c r="Z284" s="176"/>
      <c r="AA284" s="176"/>
      <c r="AB284" s="176"/>
      <c r="AC284" s="176"/>
      <c r="AD284" s="177"/>
      <c r="AE284" s="177"/>
      <c r="AF284" s="176"/>
      <c r="AG284" s="177"/>
      <c r="AH284" s="177"/>
      <c r="AI284" s="176"/>
    </row>
    <row r="285" spans="1:35" ht="11.25">
      <c r="A285" s="19"/>
      <c r="B285" s="19"/>
      <c r="C285" s="19"/>
      <c r="D285" s="19"/>
      <c r="E285" s="19"/>
      <c r="F285" s="176"/>
      <c r="G285" s="176"/>
      <c r="H285" s="176"/>
      <c r="I285" s="176"/>
      <c r="J285" s="176"/>
      <c r="K285" s="176"/>
      <c r="L285" s="176"/>
      <c r="M285" s="176"/>
      <c r="N285" s="176"/>
      <c r="O285" s="176"/>
      <c r="P285" s="176"/>
      <c r="Q285" s="176"/>
      <c r="R285" s="176"/>
      <c r="S285" s="176"/>
      <c r="T285" s="176"/>
      <c r="U285" s="176"/>
      <c r="V285" s="176"/>
      <c r="W285" s="176"/>
      <c r="X285" s="176"/>
      <c r="Y285" s="176"/>
      <c r="Z285" s="176"/>
      <c r="AA285" s="176"/>
      <c r="AB285" s="176"/>
      <c r="AC285" s="176"/>
      <c r="AD285" s="177"/>
      <c r="AE285" s="177"/>
      <c r="AF285" s="176"/>
      <c r="AG285" s="177"/>
      <c r="AH285" s="177"/>
      <c r="AI285" s="176"/>
    </row>
    <row r="286" spans="1:35" ht="11.25">
      <c r="A286" s="19"/>
      <c r="B286" s="19"/>
      <c r="C286" s="19"/>
      <c r="D286" s="19"/>
      <c r="E286" s="19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  <c r="Y286" s="176"/>
      <c r="Z286" s="176"/>
      <c r="AA286" s="176"/>
      <c r="AB286" s="176"/>
      <c r="AC286" s="176"/>
      <c r="AD286" s="177"/>
      <c r="AE286" s="177"/>
      <c r="AF286" s="176"/>
      <c r="AG286" s="177"/>
      <c r="AH286" s="177"/>
      <c r="AI286" s="176"/>
    </row>
    <row r="287" spans="1:35" ht="11.25">
      <c r="A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</row>
    <row r="289" spans="3:8" ht="15.75">
      <c r="C289" s="190"/>
      <c r="D289" s="191" t="s">
        <v>44</v>
      </c>
      <c r="E289" s="190"/>
      <c r="F289" s="1059" t="s">
        <v>861</v>
      </c>
      <c r="G289" s="1060"/>
      <c r="H289" s="1060"/>
    </row>
    <row r="290" spans="1:35" ht="11.25">
      <c r="A290" s="9" t="s">
        <v>40</v>
      </c>
      <c r="C290" s="961"/>
      <c r="D290" s="961"/>
      <c r="E290" s="962"/>
      <c r="F290" s="968"/>
      <c r="G290" s="968"/>
      <c r="H290" s="968"/>
      <c r="I290" s="968"/>
      <c r="J290" s="968"/>
      <c r="K290" s="968"/>
      <c r="L290" s="968"/>
      <c r="M290" s="968"/>
      <c r="N290" s="968"/>
      <c r="O290" s="968"/>
      <c r="P290" s="968"/>
      <c r="Q290" s="968"/>
      <c r="R290" s="968"/>
      <c r="S290" s="968"/>
      <c r="T290" s="968"/>
      <c r="U290" s="968"/>
      <c r="V290" s="968"/>
      <c r="W290" s="968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</row>
    <row r="291" spans="1:35" ht="11.25">
      <c r="A291" s="963" t="s">
        <v>1237</v>
      </c>
      <c r="B291" s="963" t="s">
        <v>1237</v>
      </c>
      <c r="C291" s="964" t="s">
        <v>1241</v>
      </c>
      <c r="D291" s="964" t="s">
        <v>9</v>
      </c>
      <c r="E291" s="964" t="s">
        <v>8</v>
      </c>
      <c r="F291" s="965" t="s">
        <v>1240</v>
      </c>
      <c r="G291" s="965" t="s">
        <v>10</v>
      </c>
      <c r="H291" s="965" t="s">
        <v>11</v>
      </c>
      <c r="I291" s="965" t="s">
        <v>1247</v>
      </c>
      <c r="J291" s="965" t="s">
        <v>12</v>
      </c>
      <c r="K291" s="965" t="s">
        <v>13</v>
      </c>
      <c r="L291" s="965" t="s">
        <v>1250</v>
      </c>
      <c r="M291" s="965" t="s">
        <v>14</v>
      </c>
      <c r="N291" s="965" t="s">
        <v>15</v>
      </c>
      <c r="O291" s="965" t="s">
        <v>1253</v>
      </c>
      <c r="P291" s="965" t="s">
        <v>16</v>
      </c>
      <c r="Q291" s="965" t="s">
        <v>17</v>
      </c>
      <c r="R291" s="965" t="s">
        <v>1256</v>
      </c>
      <c r="S291" s="965" t="s">
        <v>18</v>
      </c>
      <c r="T291" s="965" t="s">
        <v>19</v>
      </c>
      <c r="U291" s="965" t="s">
        <v>1259</v>
      </c>
      <c r="V291" s="965" t="s">
        <v>20</v>
      </c>
      <c r="W291" s="965" t="s">
        <v>21</v>
      </c>
      <c r="X291" s="965" t="s">
        <v>1262</v>
      </c>
      <c r="Y291" s="965" t="s">
        <v>22</v>
      </c>
      <c r="Z291" s="965" t="s">
        <v>23</v>
      </c>
      <c r="AA291" s="965" t="s">
        <v>2</v>
      </c>
      <c r="AB291" s="965" t="s">
        <v>24</v>
      </c>
      <c r="AC291" s="965" t="s">
        <v>25</v>
      </c>
      <c r="AD291" s="966" t="s">
        <v>5</v>
      </c>
      <c r="AE291" s="966" t="s">
        <v>26</v>
      </c>
      <c r="AF291" s="967" t="s">
        <v>27</v>
      </c>
      <c r="AG291" s="966" t="s">
        <v>28</v>
      </c>
      <c r="AH291" s="966" t="s">
        <v>31</v>
      </c>
      <c r="AI291" s="967" t="s">
        <v>32</v>
      </c>
    </row>
    <row r="292" spans="1:35" ht="11.25">
      <c r="A292" s="19"/>
      <c r="B292" s="19"/>
      <c r="C292" s="14"/>
      <c r="D292" s="14"/>
      <c r="E292" s="14"/>
      <c r="F292" s="14"/>
      <c r="G292" s="14"/>
      <c r="H292" s="14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176"/>
      <c r="Y292" s="176"/>
      <c r="Z292" s="176"/>
      <c r="AA292" s="176"/>
      <c r="AB292" s="176"/>
      <c r="AC292" s="176"/>
      <c r="AD292" s="177"/>
      <c r="AE292" s="177"/>
      <c r="AF292" s="176"/>
      <c r="AG292" s="177"/>
      <c r="AH292" s="177"/>
      <c r="AI292" s="176"/>
    </row>
    <row r="293" spans="1:35" ht="11.25">
      <c r="A293" s="19"/>
      <c r="B293" s="19"/>
      <c r="C293" s="14"/>
      <c r="D293" s="176"/>
      <c r="E293" s="176"/>
      <c r="F293" s="14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  <c r="Z293" s="176"/>
      <c r="AA293" s="176"/>
      <c r="AB293" s="176"/>
      <c r="AC293" s="176"/>
      <c r="AD293" s="177"/>
      <c r="AE293" s="177"/>
      <c r="AF293" s="176"/>
      <c r="AG293" s="177"/>
      <c r="AH293" s="177"/>
      <c r="AI293" s="176"/>
    </row>
    <row r="294" spans="1:35" ht="11.25">
      <c r="A294" s="19"/>
      <c r="B294" s="19"/>
      <c r="C294" s="14"/>
      <c r="D294" s="176"/>
      <c r="E294" s="176"/>
      <c r="F294" s="14"/>
      <c r="G294" s="176"/>
      <c r="H294" s="14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  <c r="Y294" s="176"/>
      <c r="Z294" s="176"/>
      <c r="AA294" s="176"/>
      <c r="AB294" s="176"/>
      <c r="AC294" s="176"/>
      <c r="AD294" s="177"/>
      <c r="AE294" s="177"/>
      <c r="AF294" s="176"/>
      <c r="AG294" s="177"/>
      <c r="AH294" s="177"/>
      <c r="AI294" s="176"/>
    </row>
    <row r="295" spans="1:35" ht="11.25">
      <c r="A295" s="19"/>
      <c r="B295" s="19"/>
      <c r="C295" s="14"/>
      <c r="D295" s="176"/>
      <c r="E295" s="176"/>
      <c r="F295" s="14"/>
      <c r="G295" s="176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  <c r="W295" s="176"/>
      <c r="X295" s="176"/>
      <c r="Y295" s="176"/>
      <c r="Z295" s="176"/>
      <c r="AA295" s="176"/>
      <c r="AB295" s="176"/>
      <c r="AC295" s="176"/>
      <c r="AD295" s="177"/>
      <c r="AE295" s="177"/>
      <c r="AF295" s="176"/>
      <c r="AG295" s="177"/>
      <c r="AH295" s="177"/>
      <c r="AI295" s="176"/>
    </row>
    <row r="296" spans="1:35" ht="11.25">
      <c r="A296" s="19"/>
      <c r="B296" s="19"/>
      <c r="C296" s="14"/>
      <c r="D296" s="176"/>
      <c r="E296" s="176"/>
      <c r="F296" s="14"/>
      <c r="G296" s="176"/>
      <c r="H296" s="14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6"/>
      <c r="U296" s="176"/>
      <c r="V296" s="176"/>
      <c r="W296" s="176"/>
      <c r="X296" s="176"/>
      <c r="Y296" s="176"/>
      <c r="Z296" s="176"/>
      <c r="AA296" s="176"/>
      <c r="AB296" s="176"/>
      <c r="AC296" s="176"/>
      <c r="AD296" s="177"/>
      <c r="AE296" s="177"/>
      <c r="AF296" s="176"/>
      <c r="AG296" s="177"/>
      <c r="AH296" s="177"/>
      <c r="AI296" s="176"/>
    </row>
    <row r="297" spans="1:35" ht="11.25">
      <c r="A297" s="19"/>
      <c r="B297" s="19"/>
      <c r="C297" s="19"/>
      <c r="D297" s="19"/>
      <c r="E297" s="19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  <c r="W297" s="176"/>
      <c r="X297" s="176"/>
      <c r="Y297" s="176"/>
      <c r="Z297" s="176"/>
      <c r="AA297" s="176"/>
      <c r="AB297" s="176"/>
      <c r="AC297" s="176"/>
      <c r="AD297" s="177"/>
      <c r="AE297" s="177"/>
      <c r="AF297" s="176"/>
      <c r="AG297" s="177"/>
      <c r="AH297" s="177"/>
      <c r="AI297" s="176"/>
    </row>
    <row r="298" spans="1:35" ht="11.25">
      <c r="A298" s="19"/>
      <c r="B298" s="19"/>
      <c r="C298" s="19"/>
      <c r="D298" s="19"/>
      <c r="E298" s="19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  <c r="W298" s="176"/>
      <c r="X298" s="176"/>
      <c r="Y298" s="176"/>
      <c r="Z298" s="176"/>
      <c r="AA298" s="176"/>
      <c r="AB298" s="176"/>
      <c r="AC298" s="176"/>
      <c r="AD298" s="177"/>
      <c r="AE298" s="177"/>
      <c r="AF298" s="176"/>
      <c r="AG298" s="177"/>
      <c r="AH298" s="177"/>
      <c r="AI298" s="176"/>
    </row>
    <row r="299" spans="1:35" ht="11.25">
      <c r="A299" s="19"/>
      <c r="B299" s="19"/>
      <c r="C299" s="19"/>
      <c r="D299" s="19"/>
      <c r="E299" s="19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6"/>
      <c r="V299" s="176"/>
      <c r="W299" s="176"/>
      <c r="X299" s="176"/>
      <c r="Y299" s="176"/>
      <c r="Z299" s="176"/>
      <c r="AA299" s="176"/>
      <c r="AB299" s="176"/>
      <c r="AC299" s="176"/>
      <c r="AD299" s="177"/>
      <c r="AE299" s="177"/>
      <c r="AF299" s="176"/>
      <c r="AG299" s="177"/>
      <c r="AH299" s="177"/>
      <c r="AI299" s="176"/>
    </row>
    <row r="300" spans="1:35" ht="11.25">
      <c r="A300" s="19"/>
      <c r="B300" s="19"/>
      <c r="C300" s="19"/>
      <c r="D300" s="19"/>
      <c r="E300" s="19"/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  <c r="W300" s="176"/>
      <c r="X300" s="176"/>
      <c r="Y300" s="176"/>
      <c r="Z300" s="176"/>
      <c r="AA300" s="176"/>
      <c r="AB300" s="176"/>
      <c r="AC300" s="176"/>
      <c r="AD300" s="177"/>
      <c r="AE300" s="177"/>
      <c r="AF300" s="176"/>
      <c r="AG300" s="177"/>
      <c r="AH300" s="177"/>
      <c r="AI300" s="176"/>
    </row>
    <row r="301" spans="1:35" ht="11.25">
      <c r="A301" s="19"/>
      <c r="B301" s="19"/>
      <c r="C301" s="19"/>
      <c r="D301" s="19"/>
      <c r="E301" s="19"/>
      <c r="F301" s="176"/>
      <c r="G301" s="176"/>
      <c r="H301" s="176"/>
      <c r="I301" s="176"/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6"/>
      <c r="U301" s="176"/>
      <c r="V301" s="176"/>
      <c r="W301" s="176"/>
      <c r="X301" s="176"/>
      <c r="Y301" s="176"/>
      <c r="Z301" s="176"/>
      <c r="AA301" s="176"/>
      <c r="AB301" s="176"/>
      <c r="AC301" s="176"/>
      <c r="AD301" s="177"/>
      <c r="AE301" s="177"/>
      <c r="AF301" s="176"/>
      <c r="AG301" s="177"/>
      <c r="AH301" s="177"/>
      <c r="AI301" s="176"/>
    </row>
    <row r="302" spans="1:35" ht="11.25">
      <c r="A302" s="19"/>
      <c r="B302" s="19"/>
      <c r="C302" s="19"/>
      <c r="D302" s="19"/>
      <c r="E302" s="19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  <c r="Y302" s="176"/>
      <c r="Z302" s="176"/>
      <c r="AA302" s="176"/>
      <c r="AB302" s="176"/>
      <c r="AC302" s="176"/>
      <c r="AD302" s="177"/>
      <c r="AE302" s="177"/>
      <c r="AF302" s="176"/>
      <c r="AG302" s="177"/>
      <c r="AH302" s="177"/>
      <c r="AI302" s="176"/>
    </row>
    <row r="303" spans="1:35" ht="11.25">
      <c r="A303" s="19"/>
      <c r="B303" s="19"/>
      <c r="C303" s="19"/>
      <c r="D303" s="19"/>
      <c r="E303" s="19"/>
      <c r="F303" s="176"/>
      <c r="G303" s="176"/>
      <c r="H303" s="176"/>
      <c r="I303" s="176"/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6"/>
      <c r="U303" s="176"/>
      <c r="V303" s="176"/>
      <c r="W303" s="176"/>
      <c r="X303" s="176"/>
      <c r="Y303" s="176"/>
      <c r="Z303" s="176"/>
      <c r="AA303" s="176"/>
      <c r="AB303" s="176"/>
      <c r="AC303" s="176"/>
      <c r="AD303" s="177"/>
      <c r="AE303" s="177"/>
      <c r="AF303" s="176"/>
      <c r="AG303" s="177"/>
      <c r="AH303" s="177"/>
      <c r="AI303" s="176"/>
    </row>
    <row r="304" spans="1:35" ht="11.25">
      <c r="A304" s="19"/>
      <c r="B304" s="19"/>
      <c r="C304" s="19"/>
      <c r="D304" s="19"/>
      <c r="E304" s="19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6"/>
      <c r="Y304" s="176"/>
      <c r="Z304" s="176"/>
      <c r="AA304" s="176"/>
      <c r="AB304" s="176"/>
      <c r="AC304" s="176"/>
      <c r="AD304" s="177"/>
      <c r="AE304" s="177"/>
      <c r="AF304" s="176"/>
      <c r="AG304" s="177"/>
      <c r="AH304" s="177"/>
      <c r="AI304" s="176"/>
    </row>
    <row r="305" spans="1:35" ht="11.25">
      <c r="A305" s="19"/>
      <c r="B305" s="19"/>
      <c r="C305" s="19"/>
      <c r="D305" s="19"/>
      <c r="E305" s="19"/>
      <c r="F305" s="176"/>
      <c r="G305" s="176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  <c r="X305" s="176"/>
      <c r="Y305" s="176"/>
      <c r="Z305" s="176"/>
      <c r="AA305" s="176"/>
      <c r="AB305" s="176"/>
      <c r="AC305" s="176"/>
      <c r="AD305" s="177"/>
      <c r="AE305" s="177"/>
      <c r="AF305" s="176"/>
      <c r="AG305" s="177"/>
      <c r="AH305" s="177"/>
      <c r="AI305" s="176"/>
    </row>
    <row r="306" spans="1:35" ht="11.25">
      <c r="A306" s="19"/>
      <c r="B306" s="19"/>
      <c r="C306" s="19"/>
      <c r="D306" s="19"/>
      <c r="E306" s="19"/>
      <c r="F306" s="176"/>
      <c r="G306" s="176"/>
      <c r="H306" s="176"/>
      <c r="I306" s="176"/>
      <c r="J306" s="176"/>
      <c r="K306" s="176"/>
      <c r="L306" s="176"/>
      <c r="M306" s="176"/>
      <c r="N306" s="176"/>
      <c r="O306" s="176"/>
      <c r="P306" s="176"/>
      <c r="Q306" s="176"/>
      <c r="R306" s="176"/>
      <c r="S306" s="176"/>
      <c r="T306" s="176"/>
      <c r="U306" s="176"/>
      <c r="V306" s="176"/>
      <c r="W306" s="176"/>
      <c r="X306" s="176"/>
      <c r="Y306" s="176"/>
      <c r="Z306" s="176"/>
      <c r="AA306" s="176"/>
      <c r="AB306" s="176"/>
      <c r="AC306" s="176"/>
      <c r="AD306" s="177"/>
      <c r="AE306" s="177"/>
      <c r="AF306" s="176"/>
      <c r="AG306" s="177"/>
      <c r="AH306" s="177"/>
      <c r="AI306" s="176"/>
    </row>
    <row r="307" spans="1:35" ht="11.25">
      <c r="A307" s="19"/>
      <c r="B307" s="19"/>
      <c r="C307" s="19"/>
      <c r="D307" s="19"/>
      <c r="E307" s="19"/>
      <c r="F307" s="176"/>
      <c r="G307" s="176"/>
      <c r="H307" s="176"/>
      <c r="I307" s="176"/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176"/>
      <c r="U307" s="176"/>
      <c r="V307" s="176"/>
      <c r="W307" s="176"/>
      <c r="X307" s="176"/>
      <c r="Y307" s="176"/>
      <c r="Z307" s="176"/>
      <c r="AA307" s="176"/>
      <c r="AB307" s="176"/>
      <c r="AC307" s="176"/>
      <c r="AD307" s="177"/>
      <c r="AE307" s="177"/>
      <c r="AF307" s="176"/>
      <c r="AG307" s="177"/>
      <c r="AH307" s="177"/>
      <c r="AI307" s="176"/>
    </row>
    <row r="308" spans="1:35" ht="11.25">
      <c r="A308" s="19"/>
      <c r="B308" s="19"/>
      <c r="C308" s="19"/>
      <c r="D308" s="19"/>
      <c r="E308" s="19"/>
      <c r="F308" s="176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  <c r="W308" s="176"/>
      <c r="X308" s="176"/>
      <c r="Y308" s="176"/>
      <c r="Z308" s="176"/>
      <c r="AA308" s="176"/>
      <c r="AB308" s="176"/>
      <c r="AC308" s="176"/>
      <c r="AD308" s="177"/>
      <c r="AE308" s="177"/>
      <c r="AF308" s="176"/>
      <c r="AG308" s="177"/>
      <c r="AH308" s="177"/>
      <c r="AI308" s="176"/>
    </row>
    <row r="309" spans="1:35" ht="11.25">
      <c r="A309" s="19"/>
      <c r="B309" s="19"/>
      <c r="C309" s="19"/>
      <c r="D309" s="19"/>
      <c r="E309" s="19"/>
      <c r="F309" s="176"/>
      <c r="G309" s="176"/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  <c r="V309" s="176"/>
      <c r="W309" s="176"/>
      <c r="X309" s="176"/>
      <c r="Y309" s="176"/>
      <c r="Z309" s="176"/>
      <c r="AA309" s="176"/>
      <c r="AB309" s="176"/>
      <c r="AC309" s="176"/>
      <c r="AD309" s="177"/>
      <c r="AE309" s="177"/>
      <c r="AF309" s="176"/>
      <c r="AG309" s="177"/>
      <c r="AH309" s="177"/>
      <c r="AI309" s="176"/>
    </row>
    <row r="310" spans="1:35" ht="11.25">
      <c r="A310" s="19"/>
      <c r="B310" s="19"/>
      <c r="C310" s="19"/>
      <c r="D310" s="19"/>
      <c r="E310" s="19"/>
      <c r="F310" s="176"/>
      <c r="G310" s="176"/>
      <c r="H310" s="176"/>
      <c r="I310" s="176"/>
      <c r="J310" s="176"/>
      <c r="K310" s="176"/>
      <c r="L310" s="176"/>
      <c r="M310" s="176"/>
      <c r="N310" s="176"/>
      <c r="O310" s="176"/>
      <c r="P310" s="176"/>
      <c r="Q310" s="176"/>
      <c r="R310" s="176"/>
      <c r="S310" s="176"/>
      <c r="T310" s="176"/>
      <c r="U310" s="176"/>
      <c r="V310" s="176"/>
      <c r="W310" s="176"/>
      <c r="X310" s="176"/>
      <c r="Y310" s="176"/>
      <c r="Z310" s="176"/>
      <c r="AA310" s="176"/>
      <c r="AB310" s="176"/>
      <c r="AC310" s="176"/>
      <c r="AD310" s="177"/>
      <c r="AE310" s="177"/>
      <c r="AF310" s="176"/>
      <c r="AG310" s="177"/>
      <c r="AH310" s="177"/>
      <c r="AI310" s="176"/>
    </row>
    <row r="311" spans="1:35" ht="11.25">
      <c r="A311" s="19"/>
      <c r="B311" s="19"/>
      <c r="C311" s="19"/>
      <c r="D311" s="19"/>
      <c r="E311" s="19"/>
      <c r="F311" s="176"/>
      <c r="G311" s="176"/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  <c r="R311" s="176"/>
      <c r="S311" s="176"/>
      <c r="T311" s="176"/>
      <c r="U311" s="176"/>
      <c r="V311" s="176"/>
      <c r="W311" s="176"/>
      <c r="X311" s="176"/>
      <c r="Y311" s="176"/>
      <c r="Z311" s="176"/>
      <c r="AA311" s="176"/>
      <c r="AB311" s="176"/>
      <c r="AC311" s="176"/>
      <c r="AD311" s="177"/>
      <c r="AE311" s="177"/>
      <c r="AF311" s="176"/>
      <c r="AG311" s="177"/>
      <c r="AH311" s="177"/>
      <c r="AI311" s="176"/>
    </row>
    <row r="313" ht="11.25">
      <c r="A313" s="186" t="s">
        <v>1013</v>
      </c>
    </row>
    <row r="314" spans="1:2" ht="11.25">
      <c r="A314" s="186" t="s">
        <v>41</v>
      </c>
      <c r="B314" s="115"/>
    </row>
    <row r="315" spans="1:4" ht="11.25">
      <c r="A315" s="969" t="s">
        <v>46</v>
      </c>
      <c r="B315" s="969" t="s">
        <v>75</v>
      </c>
      <c r="C315" s="970" t="s">
        <v>45</v>
      </c>
      <c r="D315" s="11" t="s">
        <v>1026</v>
      </c>
    </row>
    <row r="316" spans="1:4" ht="11.25">
      <c r="A316" s="176"/>
      <c r="B316" s="211"/>
      <c r="C316" s="14"/>
      <c r="D316" s="14"/>
    </row>
    <row r="317" spans="1:4" ht="11.25">
      <c r="A317" s="176"/>
      <c r="B317" s="211"/>
      <c r="C317" s="14"/>
      <c r="D317" s="14"/>
    </row>
    <row r="318" spans="1:4" ht="11.25">
      <c r="A318" s="176"/>
      <c r="B318" s="211"/>
      <c r="C318" s="14"/>
      <c r="D318" s="212"/>
    </row>
    <row r="319" spans="1:4" ht="11.25">
      <c r="A319" s="176"/>
      <c r="B319" s="211"/>
      <c r="C319" s="14"/>
      <c r="D319" s="14"/>
    </row>
    <row r="320" spans="1:4" ht="11.25">
      <c r="A320" s="176"/>
      <c r="B320" s="211"/>
      <c r="C320" s="14"/>
      <c r="D320" s="14"/>
    </row>
    <row r="321" spans="1:4" ht="11.25">
      <c r="A321" s="176"/>
      <c r="B321" s="211"/>
      <c r="C321" s="14"/>
      <c r="D321" s="14"/>
    </row>
    <row r="322" spans="1:4" ht="11.25">
      <c r="A322" s="176"/>
      <c r="B322" s="211"/>
      <c r="C322" s="14"/>
      <c r="D322" s="14"/>
    </row>
    <row r="323" spans="1:4" ht="11.25">
      <c r="A323" s="176"/>
      <c r="B323" s="176"/>
      <c r="C323" s="14"/>
      <c r="D323" s="14"/>
    </row>
    <row r="324" spans="1:4" ht="11.25">
      <c r="A324" s="213"/>
      <c r="B324" s="176"/>
      <c r="C324" s="14"/>
      <c r="D324" s="14"/>
    </row>
    <row r="325" spans="1:4" ht="11.25">
      <c r="A325" s="14"/>
      <c r="B325" s="177"/>
      <c r="C325" s="14"/>
      <c r="D325" s="14"/>
    </row>
    <row r="326" spans="1:4" ht="11.25">
      <c r="A326" s="14"/>
      <c r="B326" s="177"/>
      <c r="C326" s="14"/>
      <c r="D326" s="14"/>
    </row>
    <row r="327" spans="1:4" ht="11.25">
      <c r="A327" s="14"/>
      <c r="B327" s="176"/>
      <c r="C327" s="14"/>
      <c r="D327" s="14"/>
    </row>
    <row r="328" spans="1:4" ht="11.25">
      <c r="A328" s="14"/>
      <c r="B328" s="14"/>
      <c r="C328" s="14"/>
      <c r="D328" s="14"/>
    </row>
    <row r="329" spans="1:4" ht="11.25">
      <c r="A329" s="14"/>
      <c r="B329" s="14"/>
      <c r="C329" s="14"/>
      <c r="D329" s="14"/>
    </row>
    <row r="330" spans="1:4" ht="11.25">
      <c r="A330" s="14"/>
      <c r="B330" s="14"/>
      <c r="C330" s="14"/>
      <c r="D330" s="14"/>
    </row>
    <row r="331" spans="1:4" ht="11.25">
      <c r="A331" s="14"/>
      <c r="B331" s="14"/>
      <c r="C331" s="14"/>
      <c r="D331" s="14"/>
    </row>
    <row r="332" spans="1:4" ht="11.25">
      <c r="A332" s="14"/>
      <c r="B332" s="14"/>
      <c r="C332" s="14"/>
      <c r="D332" s="14"/>
    </row>
    <row r="333" spans="1:4" ht="11.25">
      <c r="A333" s="14"/>
      <c r="B333" s="14"/>
      <c r="C333" s="14"/>
      <c r="D333" s="14"/>
    </row>
    <row r="334" spans="1:4" ht="11.25">
      <c r="A334" s="14"/>
      <c r="B334" s="14"/>
      <c r="C334" s="14"/>
      <c r="D334" s="14"/>
    </row>
    <row r="335" spans="1:4" ht="11.25">
      <c r="A335" s="14"/>
      <c r="B335" s="14"/>
      <c r="C335" s="14"/>
      <c r="D335" s="14"/>
    </row>
    <row r="336" spans="1:4" ht="11.25">
      <c r="A336" s="14"/>
      <c r="B336" s="14"/>
      <c r="C336" s="14"/>
      <c r="D336" s="14"/>
    </row>
    <row r="337" spans="1:4" ht="11.25">
      <c r="A337" s="14"/>
      <c r="B337" s="14"/>
      <c r="C337" s="14"/>
      <c r="D337" s="14"/>
    </row>
    <row r="338" spans="1:4" ht="11.25">
      <c r="A338" s="14"/>
      <c r="B338" s="14"/>
      <c r="C338" s="14"/>
      <c r="D338" s="14"/>
    </row>
    <row r="339" spans="1:4" ht="11.25">
      <c r="A339" s="14"/>
      <c r="B339" s="14"/>
      <c r="C339" s="14"/>
      <c r="D339" s="14"/>
    </row>
    <row r="340" spans="1:4" ht="11.25">
      <c r="A340" s="14"/>
      <c r="B340" s="14"/>
      <c r="C340" s="14"/>
      <c r="D340" s="14"/>
    </row>
    <row r="341" spans="1:4" ht="11.25">
      <c r="A341" s="14"/>
      <c r="B341" s="14"/>
      <c r="C341" s="14"/>
      <c r="D341" s="14"/>
    </row>
    <row r="342" spans="1:4" ht="11.25">
      <c r="A342" s="14"/>
      <c r="B342" s="14"/>
      <c r="C342" s="14"/>
      <c r="D342" s="14"/>
    </row>
    <row r="343" spans="1:4" ht="11.25">
      <c r="A343" s="14"/>
      <c r="B343" s="14"/>
      <c r="C343" s="14"/>
      <c r="D343" s="14"/>
    </row>
    <row r="344" spans="1:4" ht="11.25">
      <c r="A344" s="14"/>
      <c r="B344" s="14"/>
      <c r="C344" s="14"/>
      <c r="D344" s="14"/>
    </row>
    <row r="345" spans="1:4" ht="11.25">
      <c r="A345" s="14"/>
      <c r="B345" s="14"/>
      <c r="C345" s="14"/>
      <c r="D345" s="14"/>
    </row>
    <row r="346" spans="1:4" ht="11.25">
      <c r="A346" s="14"/>
      <c r="B346" s="14"/>
      <c r="C346" s="14"/>
      <c r="D346" s="14"/>
    </row>
    <row r="347" spans="1:4" ht="11.25">
      <c r="A347" s="14"/>
      <c r="B347" s="14"/>
      <c r="C347" s="14"/>
      <c r="D347" s="14"/>
    </row>
    <row r="348" spans="1:4" ht="11.25">
      <c r="A348" s="14"/>
      <c r="B348" s="14"/>
      <c r="C348" s="14"/>
      <c r="D348" s="14"/>
    </row>
    <row r="349" spans="1:4" ht="11.25">
      <c r="A349" s="14"/>
      <c r="B349" s="14"/>
      <c r="C349" s="14"/>
      <c r="D349" s="14"/>
    </row>
    <row r="350" spans="1:4" ht="11.25">
      <c r="A350" s="14"/>
      <c r="B350" s="14"/>
      <c r="C350" s="14"/>
      <c r="D350" s="14"/>
    </row>
    <row r="351" spans="1:4" ht="11.25">
      <c r="A351" s="14"/>
      <c r="B351" s="14"/>
      <c r="C351" s="14"/>
      <c r="D351" s="14"/>
    </row>
    <row r="352" spans="1:4" ht="11.25">
      <c r="A352" s="14"/>
      <c r="B352" s="14"/>
      <c r="C352" s="14"/>
      <c r="D352" s="14"/>
    </row>
    <row r="353" spans="1:4" ht="11.25">
      <c r="A353" s="14"/>
      <c r="B353" s="14"/>
      <c r="C353" s="14"/>
      <c r="D353" s="14"/>
    </row>
    <row r="354" spans="1:4" ht="11.25">
      <c r="A354" s="14"/>
      <c r="B354" s="14"/>
      <c r="C354" s="14"/>
      <c r="D354" s="14"/>
    </row>
    <row r="355" spans="1:4" ht="11.25">
      <c r="A355" s="14"/>
      <c r="B355" s="14"/>
      <c r="C355" s="14"/>
      <c r="D355" s="14"/>
    </row>
    <row r="356" spans="1:4" ht="11.25">
      <c r="A356" s="14"/>
      <c r="B356" s="14"/>
      <c r="C356" s="14"/>
      <c r="D356" s="14"/>
    </row>
    <row r="357" spans="1:4" ht="11.25">
      <c r="A357" s="14"/>
      <c r="B357" s="14"/>
      <c r="C357" s="14"/>
      <c r="D357" s="14"/>
    </row>
    <row r="358" spans="1:4" ht="11.25">
      <c r="A358" s="14"/>
      <c r="B358" s="14"/>
      <c r="C358" s="14"/>
      <c r="D358" s="14"/>
    </row>
    <row r="359" spans="1:4" ht="11.25">
      <c r="A359" s="14"/>
      <c r="B359" s="14"/>
      <c r="C359" s="14"/>
      <c r="D359" s="14"/>
    </row>
    <row r="360" spans="1:4" ht="11.25">
      <c r="A360" s="14"/>
      <c r="B360" s="14"/>
      <c r="C360" s="14"/>
      <c r="D360" s="14"/>
    </row>
    <row r="363" spans="1:3" ht="11.25">
      <c r="A363" s="971" t="s">
        <v>153</v>
      </c>
      <c r="B363" s="962"/>
      <c r="C363" s="962"/>
    </row>
    <row r="364" spans="1:3" ht="11.25">
      <c r="A364" s="9" t="s">
        <v>154</v>
      </c>
      <c r="B364" s="9" t="s">
        <v>134</v>
      </c>
      <c r="C364" s="9" t="s">
        <v>139</v>
      </c>
    </row>
    <row r="365" spans="1:3" ht="11.25">
      <c r="A365" s="169">
        <v>0</v>
      </c>
      <c r="B365" s="972"/>
      <c r="C365" s="973" t="s">
        <v>138</v>
      </c>
    </row>
    <row r="366" spans="1:3" ht="11.25">
      <c r="A366" s="169">
        <v>0.03125</v>
      </c>
      <c r="B366" s="972"/>
      <c r="C366" s="973" t="s">
        <v>119</v>
      </c>
    </row>
    <row r="367" spans="1:3" ht="11.25">
      <c r="A367" s="169">
        <v>0.0625</v>
      </c>
      <c r="B367" s="974"/>
      <c r="C367" s="973" t="s">
        <v>119</v>
      </c>
    </row>
    <row r="368" spans="1:3" ht="11.25">
      <c r="A368" s="169">
        <v>0.09375</v>
      </c>
      <c r="B368" s="974"/>
      <c r="C368" s="973" t="s">
        <v>120</v>
      </c>
    </row>
    <row r="369" spans="1:3" ht="11.25">
      <c r="A369" s="169">
        <v>0.125</v>
      </c>
      <c r="B369" s="974"/>
      <c r="C369" s="973" t="s">
        <v>120</v>
      </c>
    </row>
    <row r="370" spans="1:3" ht="11.25">
      <c r="A370" s="169">
        <v>0.15625</v>
      </c>
      <c r="B370" s="974"/>
      <c r="C370" s="973" t="s">
        <v>121</v>
      </c>
    </row>
    <row r="371" spans="1:3" ht="11.25">
      <c r="A371" s="169">
        <v>0.1875</v>
      </c>
      <c r="B371" s="974"/>
      <c r="C371" s="973" t="s">
        <v>121</v>
      </c>
    </row>
    <row r="372" spans="1:3" ht="11.25">
      <c r="A372" s="169">
        <v>0.21875</v>
      </c>
      <c r="B372" s="974"/>
      <c r="C372" s="973" t="s">
        <v>122</v>
      </c>
    </row>
    <row r="373" spans="1:3" ht="11.25">
      <c r="A373" s="169">
        <v>0.25</v>
      </c>
      <c r="B373" s="974"/>
      <c r="C373" s="973" t="s">
        <v>122</v>
      </c>
    </row>
    <row r="374" spans="1:3" ht="11.25">
      <c r="A374" s="169">
        <v>0.28125</v>
      </c>
      <c r="B374" s="974"/>
      <c r="C374" s="973" t="s">
        <v>123</v>
      </c>
    </row>
    <row r="375" spans="1:3" ht="11.25">
      <c r="A375" s="169">
        <v>0.3125</v>
      </c>
      <c r="B375" s="974"/>
      <c r="C375" s="973" t="s">
        <v>123</v>
      </c>
    </row>
    <row r="376" spans="1:3" ht="11.25">
      <c r="A376" s="169">
        <v>0.34375</v>
      </c>
      <c r="B376" s="974"/>
      <c r="C376" s="973" t="s">
        <v>124</v>
      </c>
    </row>
    <row r="377" spans="1:3" ht="11.25">
      <c r="A377" s="169">
        <v>0.375</v>
      </c>
      <c r="B377" s="974"/>
      <c r="C377" s="973" t="s">
        <v>124</v>
      </c>
    </row>
    <row r="378" spans="1:3" ht="11.25">
      <c r="A378" s="169">
        <v>0.40625</v>
      </c>
      <c r="B378" s="974"/>
      <c r="C378" s="973" t="s">
        <v>125</v>
      </c>
    </row>
    <row r="379" spans="1:3" ht="11.25">
      <c r="A379" s="169">
        <v>0.4375</v>
      </c>
      <c r="B379" s="974"/>
      <c r="C379" s="973" t="s">
        <v>125</v>
      </c>
    </row>
    <row r="380" spans="1:3" ht="11.25">
      <c r="A380" s="169">
        <v>0.46875</v>
      </c>
      <c r="B380" s="974"/>
      <c r="C380" s="973" t="s">
        <v>126</v>
      </c>
    </row>
    <row r="381" spans="1:3" ht="11.25">
      <c r="A381" s="169">
        <v>0.5</v>
      </c>
      <c r="B381" s="974"/>
      <c r="C381" s="973" t="s">
        <v>126</v>
      </c>
    </row>
    <row r="382" spans="1:3" ht="11.25">
      <c r="A382" s="169">
        <v>0.53125</v>
      </c>
      <c r="B382" s="974"/>
      <c r="C382" s="973" t="s">
        <v>127</v>
      </c>
    </row>
    <row r="383" spans="1:3" ht="11.25">
      <c r="A383" s="169">
        <v>0.5625</v>
      </c>
      <c r="B383" s="974"/>
      <c r="C383" s="973" t="s">
        <v>127</v>
      </c>
    </row>
    <row r="384" spans="1:3" ht="11.25">
      <c r="A384" s="169">
        <v>0.59375</v>
      </c>
      <c r="B384" s="974"/>
      <c r="C384" s="973" t="s">
        <v>128</v>
      </c>
    </row>
    <row r="385" spans="1:3" ht="11.25">
      <c r="A385" s="169">
        <v>0.625</v>
      </c>
      <c r="B385" s="974"/>
      <c r="C385" s="973" t="s">
        <v>128</v>
      </c>
    </row>
    <row r="386" spans="1:3" ht="11.25">
      <c r="A386" s="169">
        <v>0.65625</v>
      </c>
      <c r="B386" s="974"/>
      <c r="C386" s="973" t="s">
        <v>129</v>
      </c>
    </row>
    <row r="387" spans="1:3" ht="11.25">
      <c r="A387" s="169">
        <v>0.6875</v>
      </c>
      <c r="B387" s="974"/>
      <c r="C387" s="973" t="s">
        <v>129</v>
      </c>
    </row>
    <row r="388" spans="1:3" ht="11.25">
      <c r="A388" s="169">
        <v>0.71875</v>
      </c>
      <c r="B388" s="974"/>
      <c r="C388" s="973" t="s">
        <v>130</v>
      </c>
    </row>
    <row r="389" spans="1:3" ht="11.25">
      <c r="A389" s="169">
        <v>0.75</v>
      </c>
      <c r="B389" s="974"/>
      <c r="C389" s="973" t="s">
        <v>130</v>
      </c>
    </row>
    <row r="390" spans="1:3" ht="11.25">
      <c r="A390" s="169">
        <v>0.78125</v>
      </c>
      <c r="B390" s="974"/>
      <c r="C390" s="973" t="s">
        <v>131</v>
      </c>
    </row>
    <row r="391" spans="1:3" ht="11.25">
      <c r="A391" s="169">
        <v>0.8125</v>
      </c>
      <c r="B391" s="974"/>
      <c r="C391" s="973" t="s">
        <v>131</v>
      </c>
    </row>
    <row r="392" spans="1:3" ht="11.25">
      <c r="A392" s="169">
        <v>0.84375</v>
      </c>
      <c r="B392" s="974"/>
      <c r="C392" s="973" t="s">
        <v>132</v>
      </c>
    </row>
    <row r="393" spans="1:3" ht="11.25">
      <c r="A393" s="169">
        <v>0.875</v>
      </c>
      <c r="B393" s="974"/>
      <c r="C393" s="973" t="s">
        <v>132</v>
      </c>
    </row>
    <row r="394" spans="1:3" ht="11.25">
      <c r="A394" s="169">
        <v>0.90625</v>
      </c>
      <c r="B394" s="974"/>
      <c r="C394" s="973" t="s">
        <v>133</v>
      </c>
    </row>
    <row r="395" spans="1:3" ht="11.25">
      <c r="A395" s="169">
        <v>0.9375</v>
      </c>
      <c r="B395" s="974"/>
      <c r="C395" s="973" t="s">
        <v>133</v>
      </c>
    </row>
    <row r="396" spans="1:3" ht="11.25">
      <c r="A396" s="169">
        <v>0.96875</v>
      </c>
      <c r="B396" s="974"/>
      <c r="C396" s="973" t="s">
        <v>134</v>
      </c>
    </row>
    <row r="397" spans="1:3" ht="11.25">
      <c r="A397" s="169">
        <v>1</v>
      </c>
      <c r="B397" s="974"/>
      <c r="C397" s="973" t="s">
        <v>134</v>
      </c>
    </row>
    <row r="398" spans="1:3" ht="11.25">
      <c r="A398" s="975"/>
      <c r="B398" s="976"/>
      <c r="C398" s="977"/>
    </row>
    <row r="399" spans="1:3" ht="11.25">
      <c r="A399" s="117"/>
      <c r="B399" s="118"/>
      <c r="C399" s="118"/>
    </row>
    <row r="400" ht="11.25">
      <c r="A400" s="119"/>
    </row>
    <row r="401" spans="1:3" ht="11.25">
      <c r="A401" s="978" t="s">
        <v>155</v>
      </c>
      <c r="B401" s="962"/>
      <c r="C401" s="962"/>
    </row>
    <row r="402" spans="1:3" ht="11.25">
      <c r="A402" s="42">
        <v>5</v>
      </c>
      <c r="B402" s="979"/>
      <c r="C402" s="980" t="s">
        <v>140</v>
      </c>
    </row>
    <row r="403" spans="1:3" ht="11.25">
      <c r="A403" s="43">
        <f aca="true" t="shared" si="3" ref="A403:A466">A402+0.0625</f>
        <v>5.0625</v>
      </c>
      <c r="B403" s="972"/>
      <c r="C403" s="981" t="s">
        <v>156</v>
      </c>
    </row>
    <row r="404" spans="1:3" ht="11.25">
      <c r="A404" s="43">
        <f t="shared" si="3"/>
        <v>5.125</v>
      </c>
      <c r="B404" s="972"/>
      <c r="C404" s="981" t="s">
        <v>157</v>
      </c>
    </row>
    <row r="405" spans="1:3" ht="11.25">
      <c r="A405" s="43">
        <f t="shared" si="3"/>
        <v>5.1875</v>
      </c>
      <c r="B405" s="972"/>
      <c r="C405" s="981" t="s">
        <v>158</v>
      </c>
    </row>
    <row r="406" spans="1:3" ht="11.25">
      <c r="A406" s="43">
        <f t="shared" si="3"/>
        <v>5.25</v>
      </c>
      <c r="B406" s="972"/>
      <c r="C406" s="981" t="s">
        <v>159</v>
      </c>
    </row>
    <row r="407" spans="1:3" ht="11.25">
      <c r="A407" s="43">
        <f t="shared" si="3"/>
        <v>5.3125</v>
      </c>
      <c r="B407" s="972"/>
      <c r="C407" s="981" t="s">
        <v>160</v>
      </c>
    </row>
    <row r="408" spans="1:3" ht="11.25">
      <c r="A408" s="43">
        <f t="shared" si="3"/>
        <v>5.375</v>
      </c>
      <c r="B408" s="972"/>
      <c r="C408" s="981" t="s">
        <v>161</v>
      </c>
    </row>
    <row r="409" spans="1:3" ht="11.25">
      <c r="A409" s="43">
        <f t="shared" si="3"/>
        <v>5.4375</v>
      </c>
      <c r="B409" s="972"/>
      <c r="C409" s="981" t="s">
        <v>162</v>
      </c>
    </row>
    <row r="410" spans="1:3" ht="11.25">
      <c r="A410" s="43">
        <f t="shared" si="3"/>
        <v>5.5</v>
      </c>
      <c r="B410" s="972"/>
      <c r="C410" s="981" t="s">
        <v>163</v>
      </c>
    </row>
    <row r="411" spans="1:3" ht="11.25">
      <c r="A411" s="43">
        <f t="shared" si="3"/>
        <v>5.5625</v>
      </c>
      <c r="B411" s="972"/>
      <c r="C411" s="981" t="s">
        <v>164</v>
      </c>
    </row>
    <row r="412" spans="1:3" ht="11.25">
      <c r="A412" s="43">
        <f t="shared" si="3"/>
        <v>5.625</v>
      </c>
      <c r="B412" s="972"/>
      <c r="C412" s="981" t="s">
        <v>165</v>
      </c>
    </row>
    <row r="413" spans="1:3" ht="11.25">
      <c r="A413" s="43">
        <f t="shared" si="3"/>
        <v>5.6875</v>
      </c>
      <c r="B413" s="972"/>
      <c r="C413" s="981" t="s">
        <v>166</v>
      </c>
    </row>
    <row r="414" spans="1:3" ht="11.25">
      <c r="A414" s="43">
        <f t="shared" si="3"/>
        <v>5.75</v>
      </c>
      <c r="B414" s="972"/>
      <c r="C414" s="981" t="s">
        <v>167</v>
      </c>
    </row>
    <row r="415" spans="1:3" ht="11.25">
      <c r="A415" s="43">
        <f t="shared" si="3"/>
        <v>5.8125</v>
      </c>
      <c r="B415" s="972"/>
      <c r="C415" s="981" t="s">
        <v>168</v>
      </c>
    </row>
    <row r="416" spans="1:3" ht="11.25">
      <c r="A416" s="43">
        <f t="shared" si="3"/>
        <v>5.875</v>
      </c>
      <c r="B416" s="972"/>
      <c r="C416" s="981" t="s">
        <v>169</v>
      </c>
    </row>
    <row r="417" spans="1:3" ht="11.25">
      <c r="A417" s="43">
        <f t="shared" si="3"/>
        <v>5.9375</v>
      </c>
      <c r="B417" s="972"/>
      <c r="C417" s="981" t="s">
        <v>170</v>
      </c>
    </row>
    <row r="418" spans="1:3" ht="11.25">
      <c r="A418" s="43">
        <f t="shared" si="3"/>
        <v>6</v>
      </c>
      <c r="B418" s="972"/>
      <c r="C418" s="981" t="s">
        <v>141</v>
      </c>
    </row>
    <row r="419" spans="1:3" ht="11.25">
      <c r="A419" s="43">
        <f t="shared" si="3"/>
        <v>6.0625</v>
      </c>
      <c r="B419" s="972"/>
      <c r="C419" s="981" t="s">
        <v>171</v>
      </c>
    </row>
    <row r="420" spans="1:3" ht="11.25">
      <c r="A420" s="43">
        <f t="shared" si="3"/>
        <v>6.125</v>
      </c>
      <c r="B420" s="972"/>
      <c r="C420" s="981" t="s">
        <v>172</v>
      </c>
    </row>
    <row r="421" spans="1:3" ht="11.25">
      <c r="A421" s="43">
        <f t="shared" si="3"/>
        <v>6.1875</v>
      </c>
      <c r="B421" s="972"/>
      <c r="C421" s="981" t="s">
        <v>173</v>
      </c>
    </row>
    <row r="422" spans="1:3" ht="11.25">
      <c r="A422" s="43">
        <f t="shared" si="3"/>
        <v>6.25</v>
      </c>
      <c r="B422" s="972"/>
      <c r="C422" s="981" t="s">
        <v>174</v>
      </c>
    </row>
    <row r="423" spans="1:3" ht="11.25">
      <c r="A423" s="43">
        <f t="shared" si="3"/>
        <v>6.3125</v>
      </c>
      <c r="B423" s="972"/>
      <c r="C423" s="981" t="s">
        <v>175</v>
      </c>
    </row>
    <row r="424" spans="1:3" ht="11.25">
      <c r="A424" s="43">
        <f t="shared" si="3"/>
        <v>6.375</v>
      </c>
      <c r="B424" s="972"/>
      <c r="C424" s="981" t="s">
        <v>176</v>
      </c>
    </row>
    <row r="425" spans="1:3" ht="11.25">
      <c r="A425" s="43">
        <f t="shared" si="3"/>
        <v>6.4375</v>
      </c>
      <c r="B425" s="972"/>
      <c r="C425" s="981" t="s">
        <v>177</v>
      </c>
    </row>
    <row r="426" spans="1:3" ht="11.25">
      <c r="A426" s="43">
        <f t="shared" si="3"/>
        <v>6.5</v>
      </c>
      <c r="B426" s="972"/>
      <c r="C426" s="981" t="s">
        <v>178</v>
      </c>
    </row>
    <row r="427" spans="1:3" ht="11.25">
      <c r="A427" s="43">
        <f t="shared" si="3"/>
        <v>6.5625</v>
      </c>
      <c r="B427" s="972"/>
      <c r="C427" s="981" t="s">
        <v>179</v>
      </c>
    </row>
    <row r="428" spans="1:3" ht="11.25">
      <c r="A428" s="43">
        <f t="shared" si="3"/>
        <v>6.625</v>
      </c>
      <c r="B428" s="972"/>
      <c r="C428" s="981" t="s">
        <v>180</v>
      </c>
    </row>
    <row r="429" spans="1:3" ht="11.25">
      <c r="A429" s="43">
        <f t="shared" si="3"/>
        <v>6.6875</v>
      </c>
      <c r="B429" s="972"/>
      <c r="C429" s="981" t="s">
        <v>181</v>
      </c>
    </row>
    <row r="430" spans="1:3" ht="11.25">
      <c r="A430" s="43">
        <f t="shared" si="3"/>
        <v>6.75</v>
      </c>
      <c r="B430" s="972"/>
      <c r="C430" s="981" t="s">
        <v>182</v>
      </c>
    </row>
    <row r="431" spans="1:3" ht="11.25">
      <c r="A431" s="43">
        <f t="shared" si="3"/>
        <v>6.8125</v>
      </c>
      <c r="B431" s="972"/>
      <c r="C431" s="981" t="s">
        <v>183</v>
      </c>
    </row>
    <row r="432" spans="1:3" ht="11.25">
      <c r="A432" s="43">
        <f t="shared" si="3"/>
        <v>6.875</v>
      </c>
      <c r="B432" s="972"/>
      <c r="C432" s="981" t="s">
        <v>184</v>
      </c>
    </row>
    <row r="433" spans="1:3" ht="11.25">
      <c r="A433" s="43">
        <f t="shared" si="3"/>
        <v>6.9375</v>
      </c>
      <c r="B433" s="972"/>
      <c r="C433" s="981" t="s">
        <v>185</v>
      </c>
    </row>
    <row r="434" spans="1:3" ht="11.25">
      <c r="A434" s="43">
        <f t="shared" si="3"/>
        <v>7</v>
      </c>
      <c r="B434" s="972"/>
      <c r="C434" s="981" t="s">
        <v>142</v>
      </c>
    </row>
    <row r="435" spans="1:3" ht="11.25">
      <c r="A435" s="43">
        <f t="shared" si="3"/>
        <v>7.0625</v>
      </c>
      <c r="B435" s="972"/>
      <c r="C435" s="981" t="s">
        <v>186</v>
      </c>
    </row>
    <row r="436" spans="1:3" ht="11.25">
      <c r="A436" s="43">
        <f t="shared" si="3"/>
        <v>7.125</v>
      </c>
      <c r="B436" s="972"/>
      <c r="C436" s="981" t="s">
        <v>187</v>
      </c>
    </row>
    <row r="437" spans="1:3" ht="11.25">
      <c r="A437" s="43">
        <f t="shared" si="3"/>
        <v>7.1875</v>
      </c>
      <c r="B437" s="972"/>
      <c r="C437" s="981" t="s">
        <v>188</v>
      </c>
    </row>
    <row r="438" spans="1:3" ht="11.25">
      <c r="A438" s="43">
        <f t="shared" si="3"/>
        <v>7.25</v>
      </c>
      <c r="B438" s="972"/>
      <c r="C438" s="981" t="s">
        <v>189</v>
      </c>
    </row>
    <row r="439" spans="1:3" ht="11.25">
      <c r="A439" s="43">
        <f t="shared" si="3"/>
        <v>7.3125</v>
      </c>
      <c r="B439" s="972"/>
      <c r="C439" s="981" t="s">
        <v>190</v>
      </c>
    </row>
    <row r="440" spans="1:3" ht="11.25">
      <c r="A440" s="43">
        <f t="shared" si="3"/>
        <v>7.375</v>
      </c>
      <c r="B440" s="972"/>
      <c r="C440" s="981" t="s">
        <v>191</v>
      </c>
    </row>
    <row r="441" spans="1:3" ht="11.25">
      <c r="A441" s="43">
        <f t="shared" si="3"/>
        <v>7.4375</v>
      </c>
      <c r="B441" s="972"/>
      <c r="C441" s="981" t="s">
        <v>192</v>
      </c>
    </row>
    <row r="442" spans="1:3" ht="11.25">
      <c r="A442" s="43">
        <f t="shared" si="3"/>
        <v>7.5</v>
      </c>
      <c r="B442" s="972"/>
      <c r="C442" s="981" t="s">
        <v>193</v>
      </c>
    </row>
    <row r="443" spans="1:3" ht="11.25">
      <c r="A443" s="43">
        <f t="shared" si="3"/>
        <v>7.5625</v>
      </c>
      <c r="B443" s="972"/>
      <c r="C443" s="981" t="s">
        <v>194</v>
      </c>
    </row>
    <row r="444" spans="1:3" ht="11.25">
      <c r="A444" s="43">
        <f t="shared" si="3"/>
        <v>7.625</v>
      </c>
      <c r="B444" s="972"/>
      <c r="C444" s="981" t="s">
        <v>195</v>
      </c>
    </row>
    <row r="445" spans="1:3" ht="11.25">
      <c r="A445" s="43">
        <f t="shared" si="3"/>
        <v>7.6875</v>
      </c>
      <c r="B445" s="972"/>
      <c r="C445" s="981" t="s">
        <v>196</v>
      </c>
    </row>
    <row r="446" spans="1:3" ht="11.25">
      <c r="A446" s="43">
        <f t="shared" si="3"/>
        <v>7.75</v>
      </c>
      <c r="B446" s="972"/>
      <c r="C446" s="981" t="s">
        <v>197</v>
      </c>
    </row>
    <row r="447" spans="1:3" ht="11.25">
      <c r="A447" s="43">
        <f t="shared" si="3"/>
        <v>7.8125</v>
      </c>
      <c r="B447" s="972"/>
      <c r="C447" s="981" t="s">
        <v>198</v>
      </c>
    </row>
    <row r="448" spans="1:7" ht="11.25">
      <c r="A448" s="43">
        <f t="shared" si="3"/>
        <v>7.875</v>
      </c>
      <c r="B448" s="972"/>
      <c r="C448" s="981" t="s">
        <v>199</v>
      </c>
      <c r="F448" s="115"/>
      <c r="G448" s="115"/>
    </row>
    <row r="449" spans="1:7" ht="11.25">
      <c r="A449" s="43">
        <f t="shared" si="3"/>
        <v>7.9375</v>
      </c>
      <c r="B449" s="972"/>
      <c r="C449" s="981" t="s">
        <v>200</v>
      </c>
      <c r="F449" s="115"/>
      <c r="G449" s="115"/>
    </row>
    <row r="450" spans="1:3" ht="11.25">
      <c r="A450" s="43">
        <f t="shared" si="3"/>
        <v>8</v>
      </c>
      <c r="B450" s="972"/>
      <c r="C450" s="981" t="s">
        <v>143</v>
      </c>
    </row>
    <row r="451" spans="1:3" ht="11.25">
      <c r="A451" s="43">
        <f t="shared" si="3"/>
        <v>8.0625</v>
      </c>
      <c r="B451" s="972"/>
      <c r="C451" s="981" t="s">
        <v>201</v>
      </c>
    </row>
    <row r="452" spans="1:3" ht="11.25">
      <c r="A452" s="43">
        <f t="shared" si="3"/>
        <v>8.125</v>
      </c>
      <c r="B452" s="972"/>
      <c r="C452" s="981" t="s">
        <v>202</v>
      </c>
    </row>
    <row r="453" spans="1:3" ht="11.25">
      <c r="A453" s="43">
        <f t="shared" si="3"/>
        <v>8.1875</v>
      </c>
      <c r="B453" s="972"/>
      <c r="C453" s="981" t="s">
        <v>203</v>
      </c>
    </row>
    <row r="454" spans="1:3" ht="11.25">
      <c r="A454" s="43">
        <f t="shared" si="3"/>
        <v>8.25</v>
      </c>
      <c r="B454" s="972"/>
      <c r="C454" s="981" t="s">
        <v>204</v>
      </c>
    </row>
    <row r="455" spans="1:3" ht="11.25">
      <c r="A455" s="43">
        <f t="shared" si="3"/>
        <v>8.3125</v>
      </c>
      <c r="B455" s="972"/>
      <c r="C455" s="981" t="s">
        <v>205</v>
      </c>
    </row>
    <row r="456" spans="1:3" ht="11.25">
      <c r="A456" s="43">
        <f t="shared" si="3"/>
        <v>8.375</v>
      </c>
      <c r="B456" s="972"/>
      <c r="C456" s="981" t="s">
        <v>206</v>
      </c>
    </row>
    <row r="457" spans="1:3" ht="11.25">
      <c r="A457" s="43">
        <f t="shared" si="3"/>
        <v>8.4375</v>
      </c>
      <c r="B457" s="972"/>
      <c r="C457" s="981" t="s">
        <v>207</v>
      </c>
    </row>
    <row r="458" spans="1:3" ht="11.25">
      <c r="A458" s="43">
        <f t="shared" si="3"/>
        <v>8.5</v>
      </c>
      <c r="B458" s="972"/>
      <c r="C458" s="981" t="s">
        <v>208</v>
      </c>
    </row>
    <row r="459" spans="1:3" ht="11.25">
      <c r="A459" s="43">
        <f t="shared" si="3"/>
        <v>8.5625</v>
      </c>
      <c r="B459" s="972"/>
      <c r="C459" s="981" t="s">
        <v>209</v>
      </c>
    </row>
    <row r="460" spans="1:3" ht="11.25">
      <c r="A460" s="43">
        <f t="shared" si="3"/>
        <v>8.625</v>
      </c>
      <c r="B460" s="972"/>
      <c r="C460" s="981" t="s">
        <v>210</v>
      </c>
    </row>
    <row r="461" spans="1:3" ht="11.25">
      <c r="A461" s="43">
        <f t="shared" si="3"/>
        <v>8.6875</v>
      </c>
      <c r="B461" s="972"/>
      <c r="C461" s="981" t="s">
        <v>211</v>
      </c>
    </row>
    <row r="462" spans="1:3" ht="11.25">
      <c r="A462" s="43">
        <f t="shared" si="3"/>
        <v>8.75</v>
      </c>
      <c r="B462" s="972"/>
      <c r="C462" s="981" t="s">
        <v>212</v>
      </c>
    </row>
    <row r="463" spans="1:3" ht="11.25">
      <c r="A463" s="43">
        <f t="shared" si="3"/>
        <v>8.8125</v>
      </c>
      <c r="B463" s="972"/>
      <c r="C463" s="981" t="s">
        <v>213</v>
      </c>
    </row>
    <row r="464" spans="1:3" ht="11.25">
      <c r="A464" s="43">
        <f t="shared" si="3"/>
        <v>8.875</v>
      </c>
      <c r="B464" s="972"/>
      <c r="C464" s="981" t="s">
        <v>214</v>
      </c>
    </row>
    <row r="465" spans="1:3" ht="11.25">
      <c r="A465" s="43">
        <f t="shared" si="3"/>
        <v>8.9375</v>
      </c>
      <c r="B465" s="972"/>
      <c r="C465" s="981" t="s">
        <v>215</v>
      </c>
    </row>
    <row r="466" spans="1:3" ht="11.25">
      <c r="A466" s="43">
        <f t="shared" si="3"/>
        <v>9</v>
      </c>
      <c r="B466" s="972"/>
      <c r="C466" s="981" t="s">
        <v>144</v>
      </c>
    </row>
    <row r="467" spans="1:3" ht="11.25">
      <c r="A467" s="43">
        <f aca="true" t="shared" si="4" ref="A467:A530">A466+0.0625</f>
        <v>9.0625</v>
      </c>
      <c r="B467" s="972"/>
      <c r="C467" s="981" t="s">
        <v>216</v>
      </c>
    </row>
    <row r="468" spans="1:3" ht="11.25">
      <c r="A468" s="43">
        <f t="shared" si="4"/>
        <v>9.125</v>
      </c>
      <c r="B468" s="972"/>
      <c r="C468" s="981" t="s">
        <v>217</v>
      </c>
    </row>
    <row r="469" spans="1:3" ht="11.25">
      <c r="A469" s="43">
        <f t="shared" si="4"/>
        <v>9.1875</v>
      </c>
      <c r="B469" s="972"/>
      <c r="C469" s="981" t="s">
        <v>218</v>
      </c>
    </row>
    <row r="470" spans="1:3" ht="11.25">
      <c r="A470" s="43">
        <f t="shared" si="4"/>
        <v>9.25</v>
      </c>
      <c r="B470" s="972"/>
      <c r="C470" s="981" t="s">
        <v>219</v>
      </c>
    </row>
    <row r="471" spans="1:3" ht="11.25">
      <c r="A471" s="43">
        <f t="shared" si="4"/>
        <v>9.3125</v>
      </c>
      <c r="B471" s="972"/>
      <c r="C471" s="981" t="s">
        <v>220</v>
      </c>
    </row>
    <row r="472" spans="1:3" ht="11.25">
      <c r="A472" s="43">
        <f t="shared" si="4"/>
        <v>9.375</v>
      </c>
      <c r="B472" s="972"/>
      <c r="C472" s="981" t="s">
        <v>221</v>
      </c>
    </row>
    <row r="473" spans="1:3" ht="11.25">
      <c r="A473" s="43">
        <f t="shared" si="4"/>
        <v>9.4375</v>
      </c>
      <c r="B473" s="972"/>
      <c r="C473" s="981" t="s">
        <v>222</v>
      </c>
    </row>
    <row r="474" spans="1:3" ht="11.25">
      <c r="A474" s="43">
        <f t="shared" si="4"/>
        <v>9.5</v>
      </c>
      <c r="B474" s="972"/>
      <c r="C474" s="981" t="s">
        <v>223</v>
      </c>
    </row>
    <row r="475" spans="1:3" ht="11.25">
      <c r="A475" s="43">
        <f t="shared" si="4"/>
        <v>9.5625</v>
      </c>
      <c r="B475" s="972"/>
      <c r="C475" s="981" t="s">
        <v>224</v>
      </c>
    </row>
    <row r="476" spans="1:3" ht="11.25">
      <c r="A476" s="43">
        <f t="shared" si="4"/>
        <v>9.625</v>
      </c>
      <c r="B476" s="972"/>
      <c r="C476" s="981" t="s">
        <v>225</v>
      </c>
    </row>
    <row r="477" spans="1:3" ht="11.25">
      <c r="A477" s="43">
        <f t="shared" si="4"/>
        <v>9.6875</v>
      </c>
      <c r="B477" s="972"/>
      <c r="C477" s="981" t="s">
        <v>226</v>
      </c>
    </row>
    <row r="478" spans="1:3" ht="11.25">
      <c r="A478" s="43">
        <f t="shared" si="4"/>
        <v>9.75</v>
      </c>
      <c r="B478" s="972"/>
      <c r="C478" s="981" t="s">
        <v>227</v>
      </c>
    </row>
    <row r="479" spans="1:3" ht="11.25">
      <c r="A479" s="43">
        <f t="shared" si="4"/>
        <v>9.8125</v>
      </c>
      <c r="B479" s="972"/>
      <c r="C479" s="981" t="s">
        <v>228</v>
      </c>
    </row>
    <row r="480" spans="1:3" ht="11.25">
      <c r="A480" s="43">
        <f t="shared" si="4"/>
        <v>9.875</v>
      </c>
      <c r="B480" s="972"/>
      <c r="C480" s="981" t="s">
        <v>229</v>
      </c>
    </row>
    <row r="481" spans="1:3" ht="11.25">
      <c r="A481" s="43">
        <f t="shared" si="4"/>
        <v>9.9375</v>
      </c>
      <c r="B481" s="972"/>
      <c r="C481" s="981" t="s">
        <v>230</v>
      </c>
    </row>
    <row r="482" spans="1:3" ht="11.25">
      <c r="A482" s="43">
        <f t="shared" si="4"/>
        <v>10</v>
      </c>
      <c r="B482" s="972"/>
      <c r="C482" s="981" t="s">
        <v>231</v>
      </c>
    </row>
    <row r="483" spans="1:3" ht="11.25">
      <c r="A483" s="43">
        <f t="shared" si="4"/>
        <v>10.0625</v>
      </c>
      <c r="B483" s="972"/>
      <c r="C483" s="981" t="s">
        <v>232</v>
      </c>
    </row>
    <row r="484" spans="1:3" ht="11.25">
      <c r="A484" s="43">
        <f t="shared" si="4"/>
        <v>10.125</v>
      </c>
      <c r="B484" s="972"/>
      <c r="C484" s="981" t="s">
        <v>233</v>
      </c>
    </row>
    <row r="485" spans="1:3" ht="11.25">
      <c r="A485" s="43">
        <f t="shared" si="4"/>
        <v>10.1875</v>
      </c>
      <c r="B485" s="972"/>
      <c r="C485" s="981" t="s">
        <v>234</v>
      </c>
    </row>
    <row r="486" spans="1:3" ht="11.25">
      <c r="A486" s="43">
        <f t="shared" si="4"/>
        <v>10.25</v>
      </c>
      <c r="B486" s="972"/>
      <c r="C486" s="981" t="s">
        <v>235</v>
      </c>
    </row>
    <row r="487" spans="1:3" ht="11.25">
      <c r="A487" s="43">
        <f t="shared" si="4"/>
        <v>10.3125</v>
      </c>
      <c r="B487" s="972"/>
      <c r="C487" s="981" t="s">
        <v>236</v>
      </c>
    </row>
    <row r="488" spans="1:3" ht="11.25">
      <c r="A488" s="43">
        <f t="shared" si="4"/>
        <v>10.375</v>
      </c>
      <c r="B488" s="972"/>
      <c r="C488" s="981" t="s">
        <v>237</v>
      </c>
    </row>
    <row r="489" spans="1:3" ht="11.25">
      <c r="A489" s="43">
        <f t="shared" si="4"/>
        <v>10.4375</v>
      </c>
      <c r="B489" s="972"/>
      <c r="C489" s="981" t="s">
        <v>238</v>
      </c>
    </row>
    <row r="490" spans="1:3" ht="11.25">
      <c r="A490" s="43">
        <f t="shared" si="4"/>
        <v>10.5</v>
      </c>
      <c r="B490" s="972"/>
      <c r="C490" s="981" t="s">
        <v>239</v>
      </c>
    </row>
    <row r="491" spans="1:3" ht="11.25">
      <c r="A491" s="43">
        <f t="shared" si="4"/>
        <v>10.5625</v>
      </c>
      <c r="B491" s="972"/>
      <c r="C491" s="981" t="s">
        <v>240</v>
      </c>
    </row>
    <row r="492" spans="1:3" ht="11.25">
      <c r="A492" s="43">
        <f t="shared" si="4"/>
        <v>10.625</v>
      </c>
      <c r="B492" s="972"/>
      <c r="C492" s="981" t="s">
        <v>241</v>
      </c>
    </row>
    <row r="493" spans="1:3" ht="11.25">
      <c r="A493" s="43">
        <f t="shared" si="4"/>
        <v>10.6875</v>
      </c>
      <c r="B493" s="972"/>
      <c r="C493" s="981" t="s">
        <v>242</v>
      </c>
    </row>
    <row r="494" spans="1:3" ht="11.25">
      <c r="A494" s="43">
        <f t="shared" si="4"/>
        <v>10.75</v>
      </c>
      <c r="B494" s="972"/>
      <c r="C494" s="981" t="s">
        <v>243</v>
      </c>
    </row>
    <row r="495" spans="1:3" ht="11.25">
      <c r="A495" s="43">
        <f t="shared" si="4"/>
        <v>10.8125</v>
      </c>
      <c r="B495" s="972"/>
      <c r="C495" s="981" t="s">
        <v>244</v>
      </c>
    </row>
    <row r="496" spans="1:3" ht="11.25">
      <c r="A496" s="43">
        <f t="shared" si="4"/>
        <v>10.875</v>
      </c>
      <c r="B496" s="972"/>
      <c r="C496" s="981" t="s">
        <v>245</v>
      </c>
    </row>
    <row r="497" spans="1:3" ht="11.25">
      <c r="A497" s="43">
        <f t="shared" si="4"/>
        <v>10.9375</v>
      </c>
      <c r="B497" s="972"/>
      <c r="C497" s="981" t="s">
        <v>246</v>
      </c>
    </row>
    <row r="498" spans="1:3" ht="11.25">
      <c r="A498" s="43">
        <f t="shared" si="4"/>
        <v>11</v>
      </c>
      <c r="B498" s="972"/>
      <c r="C498" s="981" t="s">
        <v>247</v>
      </c>
    </row>
    <row r="499" spans="1:3" ht="11.25">
      <c r="A499" s="43">
        <f t="shared" si="4"/>
        <v>11.0625</v>
      </c>
      <c r="B499" s="972"/>
      <c r="C499" s="981" t="s">
        <v>248</v>
      </c>
    </row>
    <row r="500" spans="1:3" ht="11.25">
      <c r="A500" s="43">
        <f t="shared" si="4"/>
        <v>11.125</v>
      </c>
      <c r="B500" s="972"/>
      <c r="C500" s="981" t="s">
        <v>249</v>
      </c>
    </row>
    <row r="501" spans="1:3" ht="11.25">
      <c r="A501" s="43">
        <f t="shared" si="4"/>
        <v>11.1875</v>
      </c>
      <c r="B501" s="972"/>
      <c r="C501" s="981" t="s">
        <v>250</v>
      </c>
    </row>
    <row r="502" spans="1:3" ht="11.25">
      <c r="A502" s="43">
        <f t="shared" si="4"/>
        <v>11.25</v>
      </c>
      <c r="B502" s="972"/>
      <c r="C502" s="981" t="s">
        <v>251</v>
      </c>
    </row>
    <row r="503" spans="1:3" ht="11.25">
      <c r="A503" s="43">
        <f t="shared" si="4"/>
        <v>11.3125</v>
      </c>
      <c r="B503" s="972"/>
      <c r="C503" s="981" t="s">
        <v>252</v>
      </c>
    </row>
    <row r="504" spans="1:3" ht="11.25">
      <c r="A504" s="43">
        <f t="shared" si="4"/>
        <v>11.375</v>
      </c>
      <c r="B504" s="972"/>
      <c r="C504" s="981" t="s">
        <v>253</v>
      </c>
    </row>
    <row r="505" spans="1:3" ht="11.25">
      <c r="A505" s="43">
        <f t="shared" si="4"/>
        <v>11.4375</v>
      </c>
      <c r="B505" s="972"/>
      <c r="C505" s="981" t="s">
        <v>254</v>
      </c>
    </row>
    <row r="506" spans="1:3" ht="11.25">
      <c r="A506" s="43">
        <f t="shared" si="4"/>
        <v>11.5</v>
      </c>
      <c r="B506" s="972"/>
      <c r="C506" s="981" t="s">
        <v>255</v>
      </c>
    </row>
    <row r="507" spans="1:3" ht="11.25">
      <c r="A507" s="43">
        <f t="shared" si="4"/>
        <v>11.5625</v>
      </c>
      <c r="B507" s="972"/>
      <c r="C507" s="981" t="s">
        <v>256</v>
      </c>
    </row>
    <row r="508" spans="1:3" ht="11.25">
      <c r="A508" s="43">
        <f t="shared" si="4"/>
        <v>11.625</v>
      </c>
      <c r="B508" s="972"/>
      <c r="C508" s="981" t="s">
        <v>257</v>
      </c>
    </row>
    <row r="509" spans="1:3" ht="11.25">
      <c r="A509" s="43">
        <f t="shared" si="4"/>
        <v>11.6875</v>
      </c>
      <c r="B509" s="972"/>
      <c r="C509" s="981" t="s">
        <v>258</v>
      </c>
    </row>
    <row r="510" spans="1:3" ht="11.25">
      <c r="A510" s="43">
        <f t="shared" si="4"/>
        <v>11.75</v>
      </c>
      <c r="B510" s="972"/>
      <c r="C510" s="981" t="s">
        <v>259</v>
      </c>
    </row>
    <row r="511" spans="1:3" ht="11.25">
      <c r="A511" s="43">
        <f t="shared" si="4"/>
        <v>11.8125</v>
      </c>
      <c r="B511" s="972"/>
      <c r="C511" s="981" t="s">
        <v>260</v>
      </c>
    </row>
    <row r="512" spans="1:3" ht="11.25">
      <c r="A512" s="43">
        <f t="shared" si="4"/>
        <v>11.875</v>
      </c>
      <c r="B512" s="972"/>
      <c r="C512" s="981" t="s">
        <v>261</v>
      </c>
    </row>
    <row r="513" spans="1:3" ht="11.25">
      <c r="A513" s="43">
        <f t="shared" si="4"/>
        <v>11.9375</v>
      </c>
      <c r="B513" s="972"/>
      <c r="C513" s="981" t="s">
        <v>262</v>
      </c>
    </row>
    <row r="514" spans="1:3" ht="11.25">
      <c r="A514" s="43">
        <f t="shared" si="4"/>
        <v>12</v>
      </c>
      <c r="B514" s="972"/>
      <c r="C514" s="981" t="s">
        <v>263</v>
      </c>
    </row>
    <row r="515" spans="1:3" ht="11.25">
      <c r="A515" s="43">
        <f t="shared" si="4"/>
        <v>12.0625</v>
      </c>
      <c r="B515" s="972"/>
      <c r="C515" s="981" t="s">
        <v>264</v>
      </c>
    </row>
    <row r="516" spans="1:3" ht="11.25">
      <c r="A516" s="43">
        <f t="shared" si="4"/>
        <v>12.125</v>
      </c>
      <c r="B516" s="972"/>
      <c r="C516" s="981" t="s">
        <v>265</v>
      </c>
    </row>
    <row r="517" spans="1:3" ht="11.25">
      <c r="A517" s="43">
        <f t="shared" si="4"/>
        <v>12.1875</v>
      </c>
      <c r="B517" s="972"/>
      <c r="C517" s="981" t="s">
        <v>266</v>
      </c>
    </row>
    <row r="518" spans="1:3" ht="11.25">
      <c r="A518" s="43">
        <f t="shared" si="4"/>
        <v>12.25</v>
      </c>
      <c r="B518" s="972"/>
      <c r="C518" s="981" t="s">
        <v>267</v>
      </c>
    </row>
    <row r="519" spans="1:3" ht="11.25">
      <c r="A519" s="43">
        <f t="shared" si="4"/>
        <v>12.3125</v>
      </c>
      <c r="B519" s="972"/>
      <c r="C519" s="981" t="s">
        <v>268</v>
      </c>
    </row>
    <row r="520" spans="1:3" ht="11.25">
      <c r="A520" s="43">
        <f t="shared" si="4"/>
        <v>12.375</v>
      </c>
      <c r="B520" s="972"/>
      <c r="C520" s="981" t="s">
        <v>269</v>
      </c>
    </row>
    <row r="521" spans="1:3" ht="11.25">
      <c r="A521" s="43">
        <f t="shared" si="4"/>
        <v>12.4375</v>
      </c>
      <c r="B521" s="972"/>
      <c r="C521" s="981" t="s">
        <v>270</v>
      </c>
    </row>
    <row r="522" spans="1:3" ht="11.25">
      <c r="A522" s="43">
        <f t="shared" si="4"/>
        <v>12.5</v>
      </c>
      <c r="B522" s="972"/>
      <c r="C522" s="981" t="s">
        <v>271</v>
      </c>
    </row>
    <row r="523" spans="1:3" ht="11.25">
      <c r="A523" s="43">
        <f t="shared" si="4"/>
        <v>12.5625</v>
      </c>
      <c r="B523" s="972"/>
      <c r="C523" s="981" t="s">
        <v>272</v>
      </c>
    </row>
    <row r="524" spans="1:3" ht="11.25">
      <c r="A524" s="43">
        <f t="shared" si="4"/>
        <v>12.625</v>
      </c>
      <c r="B524" s="972"/>
      <c r="C524" s="981" t="s">
        <v>273</v>
      </c>
    </row>
    <row r="525" spans="1:3" ht="11.25">
      <c r="A525" s="43">
        <f t="shared" si="4"/>
        <v>12.6875</v>
      </c>
      <c r="B525" s="972"/>
      <c r="C525" s="981" t="s">
        <v>274</v>
      </c>
    </row>
    <row r="526" spans="1:3" ht="11.25">
      <c r="A526" s="43">
        <f t="shared" si="4"/>
        <v>12.75</v>
      </c>
      <c r="B526" s="972"/>
      <c r="C526" s="981" t="s">
        <v>275</v>
      </c>
    </row>
    <row r="527" spans="1:3" ht="11.25">
      <c r="A527" s="43">
        <f t="shared" si="4"/>
        <v>12.8125</v>
      </c>
      <c r="B527" s="972"/>
      <c r="C527" s="981" t="s">
        <v>276</v>
      </c>
    </row>
    <row r="528" spans="1:3" ht="11.25">
      <c r="A528" s="43">
        <f t="shared" si="4"/>
        <v>12.875</v>
      </c>
      <c r="B528" s="972"/>
      <c r="C528" s="981" t="s">
        <v>277</v>
      </c>
    </row>
    <row r="529" spans="1:3" ht="11.25">
      <c r="A529" s="43">
        <f t="shared" si="4"/>
        <v>12.9375</v>
      </c>
      <c r="B529" s="972"/>
      <c r="C529" s="981" t="s">
        <v>278</v>
      </c>
    </row>
    <row r="530" spans="1:3" ht="11.25">
      <c r="A530" s="43">
        <f t="shared" si="4"/>
        <v>13</v>
      </c>
      <c r="B530" s="972"/>
      <c r="C530" s="981" t="s">
        <v>279</v>
      </c>
    </row>
    <row r="531" spans="1:3" ht="11.25">
      <c r="A531" s="43">
        <f aca="true" t="shared" si="5" ref="A531:A594">A530+0.0625</f>
        <v>13.0625</v>
      </c>
      <c r="B531" s="972"/>
      <c r="C531" s="981" t="s">
        <v>280</v>
      </c>
    </row>
    <row r="532" spans="1:3" ht="11.25">
      <c r="A532" s="43">
        <f t="shared" si="5"/>
        <v>13.125</v>
      </c>
      <c r="B532" s="972"/>
      <c r="C532" s="981" t="s">
        <v>281</v>
      </c>
    </row>
    <row r="533" spans="1:3" ht="11.25">
      <c r="A533" s="43">
        <f t="shared" si="5"/>
        <v>13.1875</v>
      </c>
      <c r="B533" s="972"/>
      <c r="C533" s="981" t="s">
        <v>282</v>
      </c>
    </row>
    <row r="534" spans="1:3" ht="11.25">
      <c r="A534" s="43">
        <f t="shared" si="5"/>
        <v>13.25</v>
      </c>
      <c r="B534" s="972"/>
      <c r="C534" s="981" t="s">
        <v>283</v>
      </c>
    </row>
    <row r="535" spans="1:3" ht="11.25">
      <c r="A535" s="43">
        <f t="shared" si="5"/>
        <v>13.3125</v>
      </c>
      <c r="B535" s="972"/>
      <c r="C535" s="981" t="s">
        <v>284</v>
      </c>
    </row>
    <row r="536" spans="1:3" ht="11.25">
      <c r="A536" s="43">
        <f t="shared" si="5"/>
        <v>13.375</v>
      </c>
      <c r="B536" s="972"/>
      <c r="C536" s="981" t="s">
        <v>285</v>
      </c>
    </row>
    <row r="537" spans="1:3" ht="11.25">
      <c r="A537" s="43">
        <f t="shared" si="5"/>
        <v>13.4375</v>
      </c>
      <c r="B537" s="972"/>
      <c r="C537" s="981" t="s">
        <v>286</v>
      </c>
    </row>
    <row r="538" spans="1:3" ht="11.25">
      <c r="A538" s="43">
        <f t="shared" si="5"/>
        <v>13.5</v>
      </c>
      <c r="B538" s="972"/>
      <c r="C538" s="981" t="s">
        <v>287</v>
      </c>
    </row>
    <row r="539" spans="1:3" ht="11.25">
      <c r="A539" s="43">
        <f t="shared" si="5"/>
        <v>13.5625</v>
      </c>
      <c r="B539" s="972"/>
      <c r="C539" s="981" t="s">
        <v>288</v>
      </c>
    </row>
    <row r="540" spans="1:3" ht="11.25">
      <c r="A540" s="43">
        <f t="shared" si="5"/>
        <v>13.625</v>
      </c>
      <c r="B540" s="972"/>
      <c r="C540" s="981" t="s">
        <v>289</v>
      </c>
    </row>
    <row r="541" spans="1:3" ht="11.25">
      <c r="A541" s="43">
        <f t="shared" si="5"/>
        <v>13.6875</v>
      </c>
      <c r="B541" s="972"/>
      <c r="C541" s="981" t="s">
        <v>290</v>
      </c>
    </row>
    <row r="542" spans="1:3" ht="11.25">
      <c r="A542" s="43">
        <f t="shared" si="5"/>
        <v>13.75</v>
      </c>
      <c r="B542" s="972"/>
      <c r="C542" s="981" t="s">
        <v>291</v>
      </c>
    </row>
    <row r="543" spans="1:3" ht="11.25">
      <c r="A543" s="43">
        <f t="shared" si="5"/>
        <v>13.8125</v>
      </c>
      <c r="B543" s="972"/>
      <c r="C543" s="981" t="s">
        <v>292</v>
      </c>
    </row>
    <row r="544" spans="1:3" ht="11.25">
      <c r="A544" s="43">
        <f t="shared" si="5"/>
        <v>13.875</v>
      </c>
      <c r="B544" s="972"/>
      <c r="C544" s="981" t="s">
        <v>293</v>
      </c>
    </row>
    <row r="545" spans="1:3" ht="11.25">
      <c r="A545" s="43">
        <f t="shared" si="5"/>
        <v>13.9375</v>
      </c>
      <c r="B545" s="972"/>
      <c r="C545" s="981" t="s">
        <v>294</v>
      </c>
    </row>
    <row r="546" spans="1:3" ht="11.25">
      <c r="A546" s="43">
        <f t="shared" si="5"/>
        <v>14</v>
      </c>
      <c r="B546" s="972"/>
      <c r="C546" s="981" t="s">
        <v>295</v>
      </c>
    </row>
    <row r="547" spans="1:3" ht="11.25">
      <c r="A547" s="43">
        <f t="shared" si="5"/>
        <v>14.0625</v>
      </c>
      <c r="B547" s="972"/>
      <c r="C547" s="981" t="s">
        <v>296</v>
      </c>
    </row>
    <row r="548" spans="1:3" ht="11.25">
      <c r="A548" s="43">
        <f t="shared" si="5"/>
        <v>14.125</v>
      </c>
      <c r="B548" s="972"/>
      <c r="C548" s="981" t="s">
        <v>297</v>
      </c>
    </row>
    <row r="549" spans="1:3" ht="11.25">
      <c r="A549" s="43">
        <f t="shared" si="5"/>
        <v>14.1875</v>
      </c>
      <c r="B549" s="972"/>
      <c r="C549" s="981" t="s">
        <v>298</v>
      </c>
    </row>
    <row r="550" spans="1:3" ht="11.25">
      <c r="A550" s="43">
        <f t="shared" si="5"/>
        <v>14.25</v>
      </c>
      <c r="B550" s="972"/>
      <c r="C550" s="981" t="s">
        <v>299</v>
      </c>
    </row>
    <row r="551" spans="1:3" ht="11.25">
      <c r="A551" s="43">
        <f t="shared" si="5"/>
        <v>14.3125</v>
      </c>
      <c r="B551" s="972"/>
      <c r="C551" s="981" t="s">
        <v>300</v>
      </c>
    </row>
    <row r="552" spans="1:3" ht="11.25">
      <c r="A552" s="43">
        <f t="shared" si="5"/>
        <v>14.375</v>
      </c>
      <c r="B552" s="972"/>
      <c r="C552" s="981" t="s">
        <v>301</v>
      </c>
    </row>
    <row r="553" spans="1:3" ht="11.25">
      <c r="A553" s="43">
        <f t="shared" si="5"/>
        <v>14.4375</v>
      </c>
      <c r="B553" s="972"/>
      <c r="C553" s="981" t="s">
        <v>302</v>
      </c>
    </row>
    <row r="554" spans="1:3" ht="11.25">
      <c r="A554" s="43">
        <f t="shared" si="5"/>
        <v>14.5</v>
      </c>
      <c r="B554" s="972"/>
      <c r="C554" s="981" t="s">
        <v>303</v>
      </c>
    </row>
    <row r="555" spans="1:3" ht="11.25">
      <c r="A555" s="43">
        <f t="shared" si="5"/>
        <v>14.5625</v>
      </c>
      <c r="B555" s="972"/>
      <c r="C555" s="981" t="s">
        <v>304</v>
      </c>
    </row>
    <row r="556" spans="1:3" ht="11.25">
      <c r="A556" s="43">
        <f t="shared" si="5"/>
        <v>14.625</v>
      </c>
      <c r="B556" s="972"/>
      <c r="C556" s="981" t="s">
        <v>305</v>
      </c>
    </row>
    <row r="557" spans="1:3" ht="11.25">
      <c r="A557" s="43">
        <f t="shared" si="5"/>
        <v>14.6875</v>
      </c>
      <c r="B557" s="972"/>
      <c r="C557" s="981" t="s">
        <v>306</v>
      </c>
    </row>
    <row r="558" spans="1:3" ht="11.25">
      <c r="A558" s="43">
        <f t="shared" si="5"/>
        <v>14.75</v>
      </c>
      <c r="B558" s="972"/>
      <c r="C558" s="981" t="s">
        <v>307</v>
      </c>
    </row>
    <row r="559" spans="1:3" ht="11.25">
      <c r="A559" s="43">
        <f t="shared" si="5"/>
        <v>14.8125</v>
      </c>
      <c r="B559" s="972"/>
      <c r="C559" s="981" t="s">
        <v>308</v>
      </c>
    </row>
    <row r="560" spans="1:3" ht="11.25">
      <c r="A560" s="43">
        <f t="shared" si="5"/>
        <v>14.875</v>
      </c>
      <c r="B560" s="972"/>
      <c r="C560" s="981" t="s">
        <v>309</v>
      </c>
    </row>
    <row r="561" spans="1:3" ht="11.25">
      <c r="A561" s="43">
        <f t="shared" si="5"/>
        <v>14.9375</v>
      </c>
      <c r="B561" s="972"/>
      <c r="C561" s="981" t="s">
        <v>310</v>
      </c>
    </row>
    <row r="562" spans="1:3" ht="11.25">
      <c r="A562" s="43">
        <f t="shared" si="5"/>
        <v>15</v>
      </c>
      <c r="B562" s="972"/>
      <c r="C562" s="981" t="s">
        <v>311</v>
      </c>
    </row>
    <row r="563" spans="1:3" ht="11.25">
      <c r="A563" s="43">
        <f t="shared" si="5"/>
        <v>15.0625</v>
      </c>
      <c r="B563" s="972"/>
      <c r="C563" s="981" t="s">
        <v>312</v>
      </c>
    </row>
    <row r="564" spans="1:3" ht="11.25">
      <c r="A564" s="43">
        <f t="shared" si="5"/>
        <v>15.125</v>
      </c>
      <c r="B564" s="972"/>
      <c r="C564" s="981" t="s">
        <v>313</v>
      </c>
    </row>
    <row r="565" spans="1:3" ht="11.25">
      <c r="A565" s="43">
        <f t="shared" si="5"/>
        <v>15.1875</v>
      </c>
      <c r="B565" s="972"/>
      <c r="C565" s="981" t="s">
        <v>314</v>
      </c>
    </row>
    <row r="566" spans="1:3" ht="11.25">
      <c r="A566" s="43">
        <f t="shared" si="5"/>
        <v>15.25</v>
      </c>
      <c r="B566" s="972"/>
      <c r="C566" s="981" t="s">
        <v>315</v>
      </c>
    </row>
    <row r="567" spans="1:3" ht="11.25">
      <c r="A567" s="43">
        <f t="shared" si="5"/>
        <v>15.3125</v>
      </c>
      <c r="B567" s="972"/>
      <c r="C567" s="981" t="s">
        <v>316</v>
      </c>
    </row>
    <row r="568" spans="1:3" ht="11.25">
      <c r="A568" s="43">
        <f t="shared" si="5"/>
        <v>15.375</v>
      </c>
      <c r="B568" s="972"/>
      <c r="C568" s="981" t="s">
        <v>317</v>
      </c>
    </row>
    <row r="569" spans="1:3" ht="11.25">
      <c r="A569" s="43">
        <f t="shared" si="5"/>
        <v>15.4375</v>
      </c>
      <c r="B569" s="972"/>
      <c r="C569" s="981" t="s">
        <v>318</v>
      </c>
    </row>
    <row r="570" spans="1:3" ht="11.25">
      <c r="A570" s="43">
        <f t="shared" si="5"/>
        <v>15.5</v>
      </c>
      <c r="B570" s="972"/>
      <c r="C570" s="981" t="s">
        <v>319</v>
      </c>
    </row>
    <row r="571" spans="1:3" ht="11.25">
      <c r="A571" s="43">
        <f t="shared" si="5"/>
        <v>15.5625</v>
      </c>
      <c r="B571" s="972"/>
      <c r="C571" s="981" t="s">
        <v>320</v>
      </c>
    </row>
    <row r="572" spans="1:3" ht="11.25">
      <c r="A572" s="43">
        <f t="shared" si="5"/>
        <v>15.625</v>
      </c>
      <c r="B572" s="972"/>
      <c r="C572" s="981" t="s">
        <v>321</v>
      </c>
    </row>
    <row r="573" spans="1:3" ht="11.25">
      <c r="A573" s="43">
        <f t="shared" si="5"/>
        <v>15.6875</v>
      </c>
      <c r="B573" s="972"/>
      <c r="C573" s="981" t="s">
        <v>322</v>
      </c>
    </row>
    <row r="574" spans="1:3" ht="11.25">
      <c r="A574" s="43">
        <f t="shared" si="5"/>
        <v>15.75</v>
      </c>
      <c r="B574" s="972"/>
      <c r="C574" s="981" t="s">
        <v>323</v>
      </c>
    </row>
    <row r="575" spans="1:3" ht="11.25">
      <c r="A575" s="43">
        <f t="shared" si="5"/>
        <v>15.8125</v>
      </c>
      <c r="B575" s="972"/>
      <c r="C575" s="981" t="s">
        <v>324</v>
      </c>
    </row>
    <row r="576" spans="1:3" ht="11.25">
      <c r="A576" s="43">
        <f t="shared" si="5"/>
        <v>15.875</v>
      </c>
      <c r="B576" s="972"/>
      <c r="C576" s="981" t="s">
        <v>325</v>
      </c>
    </row>
    <row r="577" spans="1:3" ht="11.25">
      <c r="A577" s="43">
        <f t="shared" si="5"/>
        <v>15.9375</v>
      </c>
      <c r="B577" s="972"/>
      <c r="C577" s="981" t="s">
        <v>326</v>
      </c>
    </row>
    <row r="578" spans="1:3" ht="11.25">
      <c r="A578" s="43">
        <f t="shared" si="5"/>
        <v>16</v>
      </c>
      <c r="B578" s="972"/>
      <c r="C578" s="981" t="s">
        <v>327</v>
      </c>
    </row>
    <row r="579" spans="1:3" ht="11.25">
      <c r="A579" s="43">
        <f t="shared" si="5"/>
        <v>16.0625</v>
      </c>
      <c r="B579" s="972"/>
      <c r="C579" s="981" t="s">
        <v>328</v>
      </c>
    </row>
    <row r="580" spans="1:3" ht="11.25">
      <c r="A580" s="43">
        <f t="shared" si="5"/>
        <v>16.125</v>
      </c>
      <c r="B580" s="972"/>
      <c r="C580" s="981" t="s">
        <v>329</v>
      </c>
    </row>
    <row r="581" spans="1:3" ht="11.25">
      <c r="A581" s="43">
        <f t="shared" si="5"/>
        <v>16.1875</v>
      </c>
      <c r="B581" s="972"/>
      <c r="C581" s="981" t="s">
        <v>330</v>
      </c>
    </row>
    <row r="582" spans="1:3" ht="11.25">
      <c r="A582" s="43">
        <f t="shared" si="5"/>
        <v>16.25</v>
      </c>
      <c r="B582" s="972"/>
      <c r="C582" s="981" t="s">
        <v>331</v>
      </c>
    </row>
    <row r="583" spans="1:3" ht="11.25">
      <c r="A583" s="43">
        <f t="shared" si="5"/>
        <v>16.3125</v>
      </c>
      <c r="B583" s="972"/>
      <c r="C583" s="981" t="s">
        <v>332</v>
      </c>
    </row>
    <row r="584" spans="1:3" ht="11.25">
      <c r="A584" s="43">
        <f t="shared" si="5"/>
        <v>16.375</v>
      </c>
      <c r="B584" s="972"/>
      <c r="C584" s="981" t="s">
        <v>333</v>
      </c>
    </row>
    <row r="585" spans="1:3" ht="11.25">
      <c r="A585" s="43">
        <f t="shared" si="5"/>
        <v>16.4375</v>
      </c>
      <c r="B585" s="972"/>
      <c r="C585" s="981" t="s">
        <v>334</v>
      </c>
    </row>
    <row r="586" spans="1:3" ht="11.25">
      <c r="A586" s="43">
        <f t="shared" si="5"/>
        <v>16.5</v>
      </c>
      <c r="B586" s="972"/>
      <c r="C586" s="981" t="s">
        <v>335</v>
      </c>
    </row>
    <row r="587" spans="1:3" ht="11.25">
      <c r="A587" s="43">
        <f t="shared" si="5"/>
        <v>16.5625</v>
      </c>
      <c r="B587" s="972"/>
      <c r="C587" s="981" t="s">
        <v>336</v>
      </c>
    </row>
    <row r="588" spans="1:3" ht="11.25">
      <c r="A588" s="43">
        <f t="shared" si="5"/>
        <v>16.625</v>
      </c>
      <c r="B588" s="972"/>
      <c r="C588" s="981" t="s">
        <v>337</v>
      </c>
    </row>
    <row r="589" spans="1:3" ht="11.25">
      <c r="A589" s="43">
        <f t="shared" si="5"/>
        <v>16.6875</v>
      </c>
      <c r="B589" s="972"/>
      <c r="C589" s="981" t="s">
        <v>338</v>
      </c>
    </row>
    <row r="590" spans="1:3" ht="11.25">
      <c r="A590" s="43">
        <f t="shared" si="5"/>
        <v>16.75</v>
      </c>
      <c r="B590" s="972"/>
      <c r="C590" s="981" t="s">
        <v>339</v>
      </c>
    </row>
    <row r="591" spans="1:3" ht="11.25">
      <c r="A591" s="43">
        <f t="shared" si="5"/>
        <v>16.8125</v>
      </c>
      <c r="B591" s="972"/>
      <c r="C591" s="981" t="s">
        <v>340</v>
      </c>
    </row>
    <row r="592" spans="1:3" ht="11.25">
      <c r="A592" s="43">
        <f t="shared" si="5"/>
        <v>16.875</v>
      </c>
      <c r="B592" s="972"/>
      <c r="C592" s="981" t="s">
        <v>341</v>
      </c>
    </row>
    <row r="593" spans="1:3" ht="11.25">
      <c r="A593" s="43">
        <f t="shared" si="5"/>
        <v>16.9375</v>
      </c>
      <c r="B593" s="972"/>
      <c r="C593" s="981" t="s">
        <v>342</v>
      </c>
    </row>
    <row r="594" spans="1:3" ht="11.25">
      <c r="A594" s="43">
        <f t="shared" si="5"/>
        <v>17</v>
      </c>
      <c r="B594" s="972"/>
      <c r="C594" s="981" t="s">
        <v>343</v>
      </c>
    </row>
    <row r="595" spans="1:3" ht="11.25">
      <c r="A595" s="43">
        <f aca="true" t="shared" si="6" ref="A595:A658">A594+0.0625</f>
        <v>17.0625</v>
      </c>
      <c r="B595" s="972"/>
      <c r="C595" s="981" t="s">
        <v>344</v>
      </c>
    </row>
    <row r="596" spans="1:3" ht="11.25">
      <c r="A596" s="43">
        <f t="shared" si="6"/>
        <v>17.125</v>
      </c>
      <c r="B596" s="972"/>
      <c r="C596" s="981" t="s">
        <v>345</v>
      </c>
    </row>
    <row r="597" spans="1:3" ht="11.25">
      <c r="A597" s="43">
        <f t="shared" si="6"/>
        <v>17.1875</v>
      </c>
      <c r="B597" s="972"/>
      <c r="C597" s="981" t="s">
        <v>346</v>
      </c>
    </row>
    <row r="598" spans="1:3" ht="11.25">
      <c r="A598" s="43">
        <f t="shared" si="6"/>
        <v>17.25</v>
      </c>
      <c r="B598" s="972"/>
      <c r="C598" s="981" t="s">
        <v>347</v>
      </c>
    </row>
    <row r="599" spans="1:3" ht="11.25">
      <c r="A599" s="43">
        <f t="shared" si="6"/>
        <v>17.3125</v>
      </c>
      <c r="B599" s="972"/>
      <c r="C599" s="981" t="s">
        <v>348</v>
      </c>
    </row>
    <row r="600" spans="1:3" ht="11.25">
      <c r="A600" s="43">
        <f t="shared" si="6"/>
        <v>17.375</v>
      </c>
      <c r="B600" s="972"/>
      <c r="C600" s="981" t="s">
        <v>349</v>
      </c>
    </row>
    <row r="601" spans="1:3" ht="11.25">
      <c r="A601" s="43">
        <f t="shared" si="6"/>
        <v>17.4375</v>
      </c>
      <c r="B601" s="972"/>
      <c r="C601" s="981" t="s">
        <v>350</v>
      </c>
    </row>
    <row r="602" spans="1:3" ht="11.25">
      <c r="A602" s="43">
        <f t="shared" si="6"/>
        <v>17.5</v>
      </c>
      <c r="B602" s="972"/>
      <c r="C602" s="981" t="s">
        <v>351</v>
      </c>
    </row>
    <row r="603" spans="1:3" ht="11.25">
      <c r="A603" s="43">
        <f t="shared" si="6"/>
        <v>17.5625</v>
      </c>
      <c r="B603" s="972"/>
      <c r="C603" s="981" t="s">
        <v>352</v>
      </c>
    </row>
    <row r="604" spans="1:3" ht="11.25">
      <c r="A604" s="43">
        <f t="shared" si="6"/>
        <v>17.625</v>
      </c>
      <c r="B604" s="972"/>
      <c r="C604" s="981" t="s">
        <v>355</v>
      </c>
    </row>
    <row r="605" spans="1:3" ht="11.25">
      <c r="A605" s="43">
        <f t="shared" si="6"/>
        <v>17.6875</v>
      </c>
      <c r="B605" s="972"/>
      <c r="C605" s="981" t="s">
        <v>356</v>
      </c>
    </row>
    <row r="606" spans="1:3" ht="11.25">
      <c r="A606" s="43">
        <f t="shared" si="6"/>
        <v>17.75</v>
      </c>
      <c r="B606" s="972"/>
      <c r="C606" s="981" t="s">
        <v>357</v>
      </c>
    </row>
    <row r="607" spans="1:3" ht="11.25">
      <c r="A607" s="43">
        <f t="shared" si="6"/>
        <v>17.8125</v>
      </c>
      <c r="B607" s="972"/>
      <c r="C607" s="981" t="s">
        <v>358</v>
      </c>
    </row>
    <row r="608" spans="1:3" ht="11.25">
      <c r="A608" s="43">
        <f t="shared" si="6"/>
        <v>17.875</v>
      </c>
      <c r="B608" s="972"/>
      <c r="C608" s="981" t="s">
        <v>359</v>
      </c>
    </row>
    <row r="609" spans="1:3" ht="11.25">
      <c r="A609" s="43">
        <f t="shared" si="6"/>
        <v>17.9375</v>
      </c>
      <c r="B609" s="972"/>
      <c r="C609" s="981" t="s">
        <v>360</v>
      </c>
    </row>
    <row r="610" spans="1:3" ht="11.25">
      <c r="A610" s="43">
        <f t="shared" si="6"/>
        <v>18</v>
      </c>
      <c r="B610" s="972"/>
      <c r="C610" s="981" t="s">
        <v>361</v>
      </c>
    </row>
    <row r="611" spans="1:3" ht="11.25">
      <c r="A611" s="43">
        <f t="shared" si="6"/>
        <v>18.0625</v>
      </c>
      <c r="B611" s="972"/>
      <c r="C611" s="981" t="s">
        <v>362</v>
      </c>
    </row>
    <row r="612" spans="1:3" ht="11.25">
      <c r="A612" s="43">
        <f t="shared" si="6"/>
        <v>18.125</v>
      </c>
      <c r="B612" s="972"/>
      <c r="C612" s="981" t="s">
        <v>363</v>
      </c>
    </row>
    <row r="613" spans="1:3" ht="11.25">
      <c r="A613" s="43">
        <f t="shared" si="6"/>
        <v>18.1875</v>
      </c>
      <c r="B613" s="972"/>
      <c r="C613" s="981" t="s">
        <v>364</v>
      </c>
    </row>
    <row r="614" spans="1:3" ht="11.25">
      <c r="A614" s="43">
        <f t="shared" si="6"/>
        <v>18.25</v>
      </c>
      <c r="B614" s="972"/>
      <c r="C614" s="981" t="s">
        <v>365</v>
      </c>
    </row>
    <row r="615" spans="1:3" ht="11.25">
      <c r="A615" s="43">
        <f t="shared" si="6"/>
        <v>18.3125</v>
      </c>
      <c r="B615" s="972"/>
      <c r="C615" s="981" t="s">
        <v>366</v>
      </c>
    </row>
    <row r="616" spans="1:3" ht="11.25">
      <c r="A616" s="43">
        <f t="shared" si="6"/>
        <v>18.375</v>
      </c>
      <c r="B616" s="972"/>
      <c r="C616" s="981" t="s">
        <v>367</v>
      </c>
    </row>
    <row r="617" spans="1:3" ht="11.25">
      <c r="A617" s="43">
        <f t="shared" si="6"/>
        <v>18.4375</v>
      </c>
      <c r="B617" s="972"/>
      <c r="C617" s="981" t="s">
        <v>368</v>
      </c>
    </row>
    <row r="618" spans="1:3" ht="11.25">
      <c r="A618" s="43">
        <f t="shared" si="6"/>
        <v>18.5</v>
      </c>
      <c r="B618" s="972"/>
      <c r="C618" s="981" t="s">
        <v>369</v>
      </c>
    </row>
    <row r="619" spans="1:3" ht="11.25">
      <c r="A619" s="43">
        <f t="shared" si="6"/>
        <v>18.5625</v>
      </c>
      <c r="B619" s="972"/>
      <c r="C619" s="981" t="s">
        <v>370</v>
      </c>
    </row>
    <row r="620" spans="1:3" ht="11.25">
      <c r="A620" s="43">
        <f t="shared" si="6"/>
        <v>18.625</v>
      </c>
      <c r="B620" s="972"/>
      <c r="C620" s="981" t="s">
        <v>371</v>
      </c>
    </row>
    <row r="621" spans="1:3" ht="11.25">
      <c r="A621" s="43">
        <f t="shared" si="6"/>
        <v>18.6875</v>
      </c>
      <c r="B621" s="972"/>
      <c r="C621" s="981" t="s">
        <v>372</v>
      </c>
    </row>
    <row r="622" spans="1:3" ht="11.25">
      <c r="A622" s="43">
        <f t="shared" si="6"/>
        <v>18.75</v>
      </c>
      <c r="B622" s="972"/>
      <c r="C622" s="981" t="s">
        <v>373</v>
      </c>
    </row>
    <row r="623" spans="1:3" ht="11.25">
      <c r="A623" s="43">
        <f t="shared" si="6"/>
        <v>18.8125</v>
      </c>
      <c r="B623" s="972"/>
      <c r="C623" s="981" t="s">
        <v>374</v>
      </c>
    </row>
    <row r="624" spans="1:3" ht="11.25">
      <c r="A624" s="43">
        <f t="shared" si="6"/>
        <v>18.875</v>
      </c>
      <c r="B624" s="972"/>
      <c r="C624" s="981" t="s">
        <v>375</v>
      </c>
    </row>
    <row r="625" spans="1:3" ht="11.25">
      <c r="A625" s="43">
        <f t="shared" si="6"/>
        <v>18.9375</v>
      </c>
      <c r="B625" s="972"/>
      <c r="C625" s="981" t="s">
        <v>376</v>
      </c>
    </row>
    <row r="626" spans="1:3" ht="11.25">
      <c r="A626" s="43">
        <f t="shared" si="6"/>
        <v>19</v>
      </c>
      <c r="B626" s="972"/>
      <c r="C626" s="981" t="s">
        <v>377</v>
      </c>
    </row>
    <row r="627" spans="1:3" ht="11.25">
      <c r="A627" s="43">
        <f t="shared" si="6"/>
        <v>19.0625</v>
      </c>
      <c r="B627" s="972"/>
      <c r="C627" s="981" t="s">
        <v>378</v>
      </c>
    </row>
    <row r="628" spans="1:3" ht="11.25">
      <c r="A628" s="43">
        <f t="shared" si="6"/>
        <v>19.125</v>
      </c>
      <c r="B628" s="972"/>
      <c r="C628" s="981" t="s">
        <v>379</v>
      </c>
    </row>
    <row r="629" spans="1:3" ht="11.25">
      <c r="A629" s="43">
        <f t="shared" si="6"/>
        <v>19.1875</v>
      </c>
      <c r="B629" s="972"/>
      <c r="C629" s="981" t="s">
        <v>380</v>
      </c>
    </row>
    <row r="630" spans="1:3" ht="11.25">
      <c r="A630" s="43">
        <f t="shared" si="6"/>
        <v>19.25</v>
      </c>
      <c r="B630" s="972"/>
      <c r="C630" s="981" t="s">
        <v>381</v>
      </c>
    </row>
    <row r="631" spans="1:3" ht="11.25">
      <c r="A631" s="43">
        <f t="shared" si="6"/>
        <v>19.3125</v>
      </c>
      <c r="B631" s="972"/>
      <c r="C631" s="981" t="s">
        <v>382</v>
      </c>
    </row>
    <row r="632" spans="1:3" ht="11.25">
      <c r="A632" s="43">
        <f t="shared" si="6"/>
        <v>19.375</v>
      </c>
      <c r="B632" s="972"/>
      <c r="C632" s="981" t="s">
        <v>383</v>
      </c>
    </row>
    <row r="633" spans="1:3" ht="11.25">
      <c r="A633" s="43">
        <f t="shared" si="6"/>
        <v>19.4375</v>
      </c>
      <c r="B633" s="972"/>
      <c r="C633" s="981" t="s">
        <v>384</v>
      </c>
    </row>
    <row r="634" spans="1:3" ht="11.25">
      <c r="A634" s="43">
        <f t="shared" si="6"/>
        <v>19.5</v>
      </c>
      <c r="B634" s="972"/>
      <c r="C634" s="981" t="s">
        <v>385</v>
      </c>
    </row>
    <row r="635" spans="1:3" ht="11.25">
      <c r="A635" s="43">
        <f t="shared" si="6"/>
        <v>19.5625</v>
      </c>
      <c r="B635" s="972"/>
      <c r="C635" s="981" t="s">
        <v>386</v>
      </c>
    </row>
    <row r="636" spans="1:3" ht="11.25">
      <c r="A636" s="43">
        <f t="shared" si="6"/>
        <v>19.625</v>
      </c>
      <c r="B636" s="972"/>
      <c r="C636" s="981" t="s">
        <v>387</v>
      </c>
    </row>
    <row r="637" spans="1:3" ht="11.25">
      <c r="A637" s="43">
        <f t="shared" si="6"/>
        <v>19.6875</v>
      </c>
      <c r="B637" s="972"/>
      <c r="C637" s="981" t="s">
        <v>388</v>
      </c>
    </row>
    <row r="638" spans="1:3" ht="11.25">
      <c r="A638" s="43">
        <f t="shared" si="6"/>
        <v>19.75</v>
      </c>
      <c r="B638" s="972"/>
      <c r="C638" s="981" t="s">
        <v>389</v>
      </c>
    </row>
    <row r="639" spans="1:3" ht="11.25">
      <c r="A639" s="43">
        <f t="shared" si="6"/>
        <v>19.8125</v>
      </c>
      <c r="B639" s="972"/>
      <c r="C639" s="981" t="s">
        <v>390</v>
      </c>
    </row>
    <row r="640" spans="1:3" ht="11.25">
      <c r="A640" s="43">
        <f t="shared" si="6"/>
        <v>19.875</v>
      </c>
      <c r="B640" s="972"/>
      <c r="C640" s="981" t="s">
        <v>391</v>
      </c>
    </row>
    <row r="641" spans="1:3" ht="11.25">
      <c r="A641" s="43">
        <f t="shared" si="6"/>
        <v>19.9375</v>
      </c>
      <c r="B641" s="972"/>
      <c r="C641" s="981" t="s">
        <v>392</v>
      </c>
    </row>
    <row r="642" spans="1:3" ht="11.25">
      <c r="A642" s="43">
        <f t="shared" si="6"/>
        <v>20</v>
      </c>
      <c r="B642" s="972"/>
      <c r="C642" s="981" t="s">
        <v>393</v>
      </c>
    </row>
    <row r="643" spans="1:3" ht="11.25">
      <c r="A643" s="43">
        <f t="shared" si="6"/>
        <v>20.0625</v>
      </c>
      <c r="B643" s="972"/>
      <c r="C643" s="981" t="s">
        <v>394</v>
      </c>
    </row>
    <row r="644" spans="1:3" ht="11.25">
      <c r="A644" s="43">
        <f t="shared" si="6"/>
        <v>20.125</v>
      </c>
      <c r="B644" s="972"/>
      <c r="C644" s="981" t="s">
        <v>395</v>
      </c>
    </row>
    <row r="645" spans="1:3" ht="11.25">
      <c r="A645" s="43">
        <f t="shared" si="6"/>
        <v>20.1875</v>
      </c>
      <c r="B645" s="972"/>
      <c r="C645" s="981" t="s">
        <v>396</v>
      </c>
    </row>
    <row r="646" spans="1:3" ht="11.25">
      <c r="A646" s="43">
        <f t="shared" si="6"/>
        <v>20.25</v>
      </c>
      <c r="B646" s="972"/>
      <c r="C646" s="981" t="s">
        <v>397</v>
      </c>
    </row>
    <row r="647" spans="1:3" ht="11.25">
      <c r="A647" s="43">
        <f t="shared" si="6"/>
        <v>20.3125</v>
      </c>
      <c r="B647" s="972"/>
      <c r="C647" s="981" t="s">
        <v>398</v>
      </c>
    </row>
    <row r="648" spans="1:3" ht="11.25">
      <c r="A648" s="43">
        <f t="shared" si="6"/>
        <v>20.375</v>
      </c>
      <c r="B648" s="972"/>
      <c r="C648" s="981" t="s">
        <v>399</v>
      </c>
    </row>
    <row r="649" spans="1:3" ht="11.25">
      <c r="A649" s="43">
        <f t="shared" si="6"/>
        <v>20.4375</v>
      </c>
      <c r="B649" s="972"/>
      <c r="C649" s="981" t="s">
        <v>400</v>
      </c>
    </row>
    <row r="650" spans="1:3" ht="11.25">
      <c r="A650" s="43">
        <f t="shared" si="6"/>
        <v>20.5</v>
      </c>
      <c r="B650" s="972"/>
      <c r="C650" s="981" t="s">
        <v>401</v>
      </c>
    </row>
    <row r="651" spans="1:3" ht="11.25">
      <c r="A651" s="43">
        <f t="shared" si="6"/>
        <v>20.5625</v>
      </c>
      <c r="B651" s="972"/>
      <c r="C651" s="981" t="s">
        <v>402</v>
      </c>
    </row>
    <row r="652" spans="1:3" ht="11.25">
      <c r="A652" s="43">
        <f t="shared" si="6"/>
        <v>20.625</v>
      </c>
      <c r="B652" s="972"/>
      <c r="C652" s="981" t="s">
        <v>403</v>
      </c>
    </row>
    <row r="653" spans="1:3" ht="11.25">
      <c r="A653" s="43">
        <f t="shared" si="6"/>
        <v>20.6875</v>
      </c>
      <c r="B653" s="972"/>
      <c r="C653" s="981" t="s">
        <v>404</v>
      </c>
    </row>
    <row r="654" spans="1:3" ht="11.25">
      <c r="A654" s="43">
        <f t="shared" si="6"/>
        <v>20.75</v>
      </c>
      <c r="B654" s="972"/>
      <c r="C654" s="981" t="s">
        <v>405</v>
      </c>
    </row>
    <row r="655" spans="1:3" ht="11.25">
      <c r="A655" s="43">
        <f t="shared" si="6"/>
        <v>20.8125</v>
      </c>
      <c r="B655" s="972"/>
      <c r="C655" s="981" t="s">
        <v>406</v>
      </c>
    </row>
    <row r="656" spans="1:3" ht="11.25">
      <c r="A656" s="43">
        <f t="shared" si="6"/>
        <v>20.875</v>
      </c>
      <c r="B656" s="972"/>
      <c r="C656" s="981" t="s">
        <v>407</v>
      </c>
    </row>
    <row r="657" spans="1:3" ht="11.25">
      <c r="A657" s="43">
        <f t="shared" si="6"/>
        <v>20.9375</v>
      </c>
      <c r="B657" s="972"/>
      <c r="C657" s="981" t="s">
        <v>408</v>
      </c>
    </row>
    <row r="658" spans="1:3" ht="11.25">
      <c r="A658" s="43">
        <f t="shared" si="6"/>
        <v>21</v>
      </c>
      <c r="B658" s="972"/>
      <c r="C658" s="981" t="s">
        <v>409</v>
      </c>
    </row>
    <row r="659" spans="1:3" ht="11.25">
      <c r="A659" s="43">
        <f aca="true" t="shared" si="7" ref="A659:A722">A658+0.0625</f>
        <v>21.0625</v>
      </c>
      <c r="B659" s="972"/>
      <c r="C659" s="981" t="s">
        <v>410</v>
      </c>
    </row>
    <row r="660" spans="1:3" ht="11.25">
      <c r="A660" s="43">
        <f t="shared" si="7"/>
        <v>21.125</v>
      </c>
      <c r="B660" s="972"/>
      <c r="C660" s="981" t="s">
        <v>411</v>
      </c>
    </row>
    <row r="661" spans="1:3" ht="11.25">
      <c r="A661" s="43">
        <f t="shared" si="7"/>
        <v>21.1875</v>
      </c>
      <c r="B661" s="972"/>
      <c r="C661" s="981" t="s">
        <v>412</v>
      </c>
    </row>
    <row r="662" spans="1:3" ht="11.25">
      <c r="A662" s="43">
        <f t="shared" si="7"/>
        <v>21.25</v>
      </c>
      <c r="B662" s="972"/>
      <c r="C662" s="981" t="s">
        <v>413</v>
      </c>
    </row>
    <row r="663" spans="1:3" ht="11.25">
      <c r="A663" s="43">
        <f t="shared" si="7"/>
        <v>21.3125</v>
      </c>
      <c r="B663" s="972"/>
      <c r="C663" s="981" t="s">
        <v>414</v>
      </c>
    </row>
    <row r="664" spans="1:3" ht="11.25">
      <c r="A664" s="43">
        <f t="shared" si="7"/>
        <v>21.375</v>
      </c>
      <c r="B664" s="972"/>
      <c r="C664" s="981" t="s">
        <v>415</v>
      </c>
    </row>
    <row r="665" spans="1:3" ht="11.25">
      <c r="A665" s="43">
        <f t="shared" si="7"/>
        <v>21.4375</v>
      </c>
      <c r="B665" s="972"/>
      <c r="C665" s="981" t="s">
        <v>416</v>
      </c>
    </row>
    <row r="666" spans="1:3" ht="11.25">
      <c r="A666" s="43">
        <f t="shared" si="7"/>
        <v>21.5</v>
      </c>
      <c r="B666" s="972"/>
      <c r="C666" s="981" t="s">
        <v>417</v>
      </c>
    </row>
    <row r="667" spans="1:3" ht="11.25">
      <c r="A667" s="43">
        <f t="shared" si="7"/>
        <v>21.5625</v>
      </c>
      <c r="B667" s="972"/>
      <c r="C667" s="981" t="s">
        <v>418</v>
      </c>
    </row>
    <row r="668" spans="1:3" ht="11.25">
      <c r="A668" s="43">
        <f t="shared" si="7"/>
        <v>21.625</v>
      </c>
      <c r="B668" s="972"/>
      <c r="C668" s="981" t="s">
        <v>419</v>
      </c>
    </row>
    <row r="669" spans="1:3" ht="11.25">
      <c r="A669" s="43">
        <f t="shared" si="7"/>
        <v>21.6875</v>
      </c>
      <c r="B669" s="972"/>
      <c r="C669" s="981" t="s">
        <v>420</v>
      </c>
    </row>
    <row r="670" spans="1:3" ht="11.25">
      <c r="A670" s="43">
        <f t="shared" si="7"/>
        <v>21.75</v>
      </c>
      <c r="B670" s="972"/>
      <c r="C670" s="981" t="s">
        <v>421</v>
      </c>
    </row>
    <row r="671" spans="1:3" ht="11.25">
      <c r="A671" s="43">
        <f t="shared" si="7"/>
        <v>21.8125</v>
      </c>
      <c r="B671" s="972"/>
      <c r="C671" s="981" t="s">
        <v>422</v>
      </c>
    </row>
    <row r="672" spans="1:3" ht="11.25">
      <c r="A672" s="43">
        <f t="shared" si="7"/>
        <v>21.875</v>
      </c>
      <c r="B672" s="972"/>
      <c r="C672" s="981" t="s">
        <v>423</v>
      </c>
    </row>
    <row r="673" spans="1:3" ht="11.25">
      <c r="A673" s="43">
        <f t="shared" si="7"/>
        <v>21.9375</v>
      </c>
      <c r="B673" s="972"/>
      <c r="C673" s="981" t="s">
        <v>424</v>
      </c>
    </row>
    <row r="674" spans="1:3" ht="11.25">
      <c r="A674" s="43">
        <f t="shared" si="7"/>
        <v>22</v>
      </c>
      <c r="B674" s="972"/>
      <c r="C674" s="981" t="s">
        <v>425</v>
      </c>
    </row>
    <row r="675" spans="1:3" ht="11.25">
      <c r="A675" s="43">
        <f t="shared" si="7"/>
        <v>22.0625</v>
      </c>
      <c r="B675" s="972"/>
      <c r="C675" s="981" t="s">
        <v>426</v>
      </c>
    </row>
    <row r="676" spans="1:3" ht="11.25">
      <c r="A676" s="43">
        <f t="shared" si="7"/>
        <v>22.125</v>
      </c>
      <c r="B676" s="972"/>
      <c r="C676" s="981" t="s">
        <v>427</v>
      </c>
    </row>
    <row r="677" spans="1:3" ht="11.25">
      <c r="A677" s="43">
        <f t="shared" si="7"/>
        <v>22.1875</v>
      </c>
      <c r="B677" s="972"/>
      <c r="C677" s="981" t="s">
        <v>428</v>
      </c>
    </row>
    <row r="678" spans="1:3" ht="11.25">
      <c r="A678" s="43">
        <f t="shared" si="7"/>
        <v>22.25</v>
      </c>
      <c r="B678" s="972"/>
      <c r="C678" s="981" t="s">
        <v>429</v>
      </c>
    </row>
    <row r="679" spans="1:3" ht="11.25">
      <c r="A679" s="43">
        <f t="shared" si="7"/>
        <v>22.3125</v>
      </c>
      <c r="B679" s="972"/>
      <c r="C679" s="981" t="s">
        <v>430</v>
      </c>
    </row>
    <row r="680" spans="1:3" ht="11.25">
      <c r="A680" s="43">
        <f t="shared" si="7"/>
        <v>22.375</v>
      </c>
      <c r="B680" s="972"/>
      <c r="C680" s="981" t="s">
        <v>431</v>
      </c>
    </row>
    <row r="681" spans="1:3" ht="11.25">
      <c r="A681" s="43">
        <f t="shared" si="7"/>
        <v>22.4375</v>
      </c>
      <c r="B681" s="972"/>
      <c r="C681" s="981" t="s">
        <v>432</v>
      </c>
    </row>
    <row r="682" spans="1:3" ht="11.25">
      <c r="A682" s="43">
        <f t="shared" si="7"/>
        <v>22.5</v>
      </c>
      <c r="B682" s="972"/>
      <c r="C682" s="981" t="s">
        <v>433</v>
      </c>
    </row>
    <row r="683" spans="1:3" ht="11.25">
      <c r="A683" s="43">
        <f t="shared" si="7"/>
        <v>22.5625</v>
      </c>
      <c r="B683" s="972"/>
      <c r="C683" s="981" t="s">
        <v>434</v>
      </c>
    </row>
    <row r="684" spans="1:3" ht="11.25">
      <c r="A684" s="43">
        <f t="shared" si="7"/>
        <v>22.625</v>
      </c>
      <c r="B684" s="972"/>
      <c r="C684" s="981" t="s">
        <v>435</v>
      </c>
    </row>
    <row r="685" spans="1:3" ht="11.25">
      <c r="A685" s="43">
        <f t="shared" si="7"/>
        <v>22.6875</v>
      </c>
      <c r="B685" s="972"/>
      <c r="C685" s="981" t="s">
        <v>436</v>
      </c>
    </row>
    <row r="686" spans="1:3" ht="11.25">
      <c r="A686" s="43">
        <f t="shared" si="7"/>
        <v>22.75</v>
      </c>
      <c r="B686" s="972"/>
      <c r="C686" s="981" t="s">
        <v>437</v>
      </c>
    </row>
    <row r="687" spans="1:3" ht="11.25">
      <c r="A687" s="43">
        <f t="shared" si="7"/>
        <v>22.8125</v>
      </c>
      <c r="B687" s="972"/>
      <c r="C687" s="981" t="s">
        <v>438</v>
      </c>
    </row>
    <row r="688" spans="1:3" ht="11.25">
      <c r="A688" s="43">
        <f t="shared" si="7"/>
        <v>22.875</v>
      </c>
      <c r="B688" s="972"/>
      <c r="C688" s="981" t="s">
        <v>439</v>
      </c>
    </row>
    <row r="689" spans="1:3" ht="11.25">
      <c r="A689" s="43">
        <f t="shared" si="7"/>
        <v>22.9375</v>
      </c>
      <c r="B689" s="972"/>
      <c r="C689" s="981" t="s">
        <v>440</v>
      </c>
    </row>
    <row r="690" spans="1:3" ht="11.25">
      <c r="A690" s="43">
        <f t="shared" si="7"/>
        <v>23</v>
      </c>
      <c r="B690" s="972"/>
      <c r="C690" s="981" t="s">
        <v>441</v>
      </c>
    </row>
    <row r="691" spans="1:3" ht="11.25">
      <c r="A691" s="43">
        <f t="shared" si="7"/>
        <v>23.0625</v>
      </c>
      <c r="B691" s="972"/>
      <c r="C691" s="981" t="s">
        <v>442</v>
      </c>
    </row>
    <row r="692" spans="1:3" ht="11.25">
      <c r="A692" s="43">
        <f t="shared" si="7"/>
        <v>23.125</v>
      </c>
      <c r="B692" s="972"/>
      <c r="C692" s="981" t="s">
        <v>443</v>
      </c>
    </row>
    <row r="693" spans="1:3" ht="11.25">
      <c r="A693" s="43">
        <f t="shared" si="7"/>
        <v>23.1875</v>
      </c>
      <c r="B693" s="972"/>
      <c r="C693" s="981" t="s">
        <v>444</v>
      </c>
    </row>
    <row r="694" spans="1:3" ht="11.25">
      <c r="A694" s="43">
        <f t="shared" si="7"/>
        <v>23.25</v>
      </c>
      <c r="B694" s="972"/>
      <c r="C694" s="981" t="s">
        <v>445</v>
      </c>
    </row>
    <row r="695" spans="1:3" ht="11.25">
      <c r="A695" s="43">
        <f t="shared" si="7"/>
        <v>23.3125</v>
      </c>
      <c r="B695" s="972"/>
      <c r="C695" s="981" t="s">
        <v>446</v>
      </c>
    </row>
    <row r="696" spans="1:3" ht="11.25">
      <c r="A696" s="43">
        <f t="shared" si="7"/>
        <v>23.375</v>
      </c>
      <c r="B696" s="972"/>
      <c r="C696" s="981" t="s">
        <v>447</v>
      </c>
    </row>
    <row r="697" spans="1:3" ht="11.25">
      <c r="A697" s="43">
        <f t="shared" si="7"/>
        <v>23.4375</v>
      </c>
      <c r="B697" s="972"/>
      <c r="C697" s="981" t="s">
        <v>448</v>
      </c>
    </row>
    <row r="698" spans="1:3" ht="11.25">
      <c r="A698" s="43">
        <f t="shared" si="7"/>
        <v>23.5</v>
      </c>
      <c r="B698" s="972"/>
      <c r="C698" s="981" t="s">
        <v>449</v>
      </c>
    </row>
    <row r="699" spans="1:3" ht="11.25">
      <c r="A699" s="43">
        <f t="shared" si="7"/>
        <v>23.5625</v>
      </c>
      <c r="B699" s="972"/>
      <c r="C699" s="981" t="s">
        <v>450</v>
      </c>
    </row>
    <row r="700" spans="1:3" ht="11.25">
      <c r="A700" s="43">
        <f t="shared" si="7"/>
        <v>23.625</v>
      </c>
      <c r="B700" s="972"/>
      <c r="C700" s="981" t="s">
        <v>451</v>
      </c>
    </row>
    <row r="701" spans="1:3" ht="11.25">
      <c r="A701" s="43">
        <f t="shared" si="7"/>
        <v>23.6875</v>
      </c>
      <c r="B701" s="972"/>
      <c r="C701" s="981" t="s">
        <v>452</v>
      </c>
    </row>
    <row r="702" spans="1:3" ht="11.25">
      <c r="A702" s="43">
        <f t="shared" si="7"/>
        <v>23.75</v>
      </c>
      <c r="B702" s="972"/>
      <c r="C702" s="981" t="s">
        <v>453</v>
      </c>
    </row>
    <row r="703" spans="1:3" ht="11.25">
      <c r="A703" s="43">
        <f t="shared" si="7"/>
        <v>23.8125</v>
      </c>
      <c r="B703" s="972"/>
      <c r="C703" s="981" t="s">
        <v>454</v>
      </c>
    </row>
    <row r="704" spans="1:3" ht="11.25">
      <c r="A704" s="43">
        <f t="shared" si="7"/>
        <v>23.875</v>
      </c>
      <c r="B704" s="972"/>
      <c r="C704" s="981" t="s">
        <v>455</v>
      </c>
    </row>
    <row r="705" spans="1:3" ht="11.25">
      <c r="A705" s="43">
        <f t="shared" si="7"/>
        <v>23.9375</v>
      </c>
      <c r="B705" s="972"/>
      <c r="C705" s="981" t="s">
        <v>456</v>
      </c>
    </row>
    <row r="706" spans="1:3" ht="11.25">
      <c r="A706" s="43">
        <f t="shared" si="7"/>
        <v>24</v>
      </c>
      <c r="B706" s="972"/>
      <c r="C706" s="981" t="s">
        <v>457</v>
      </c>
    </row>
    <row r="707" spans="1:3" ht="11.25">
      <c r="A707" s="43">
        <f t="shared" si="7"/>
        <v>24.0625</v>
      </c>
      <c r="B707" s="972"/>
      <c r="C707" s="981" t="s">
        <v>458</v>
      </c>
    </row>
    <row r="708" spans="1:3" ht="11.25">
      <c r="A708" s="43">
        <f t="shared" si="7"/>
        <v>24.125</v>
      </c>
      <c r="B708" s="972"/>
      <c r="C708" s="981" t="s">
        <v>459</v>
      </c>
    </row>
    <row r="709" spans="1:3" ht="11.25">
      <c r="A709" s="43">
        <f t="shared" si="7"/>
        <v>24.1875</v>
      </c>
      <c r="B709" s="972"/>
      <c r="C709" s="981" t="s">
        <v>460</v>
      </c>
    </row>
    <row r="710" spans="1:3" ht="11.25">
      <c r="A710" s="43">
        <f t="shared" si="7"/>
        <v>24.25</v>
      </c>
      <c r="B710" s="972"/>
      <c r="C710" s="981" t="s">
        <v>461</v>
      </c>
    </row>
    <row r="711" spans="1:3" ht="11.25">
      <c r="A711" s="43">
        <f t="shared" si="7"/>
        <v>24.3125</v>
      </c>
      <c r="B711" s="972"/>
      <c r="C711" s="981" t="s">
        <v>462</v>
      </c>
    </row>
    <row r="712" spans="1:3" ht="11.25">
      <c r="A712" s="43">
        <f t="shared" si="7"/>
        <v>24.375</v>
      </c>
      <c r="B712" s="972"/>
      <c r="C712" s="981" t="s">
        <v>463</v>
      </c>
    </row>
    <row r="713" spans="1:3" ht="11.25">
      <c r="A713" s="43">
        <f t="shared" si="7"/>
        <v>24.4375</v>
      </c>
      <c r="B713" s="972"/>
      <c r="C713" s="981" t="s">
        <v>464</v>
      </c>
    </row>
    <row r="714" spans="1:3" ht="11.25">
      <c r="A714" s="43">
        <f t="shared" si="7"/>
        <v>24.5</v>
      </c>
      <c r="B714" s="972"/>
      <c r="C714" s="981" t="s">
        <v>465</v>
      </c>
    </row>
    <row r="715" spans="1:3" ht="11.25">
      <c r="A715" s="43">
        <f t="shared" si="7"/>
        <v>24.5625</v>
      </c>
      <c r="B715" s="972"/>
      <c r="C715" s="981" t="s">
        <v>466</v>
      </c>
    </row>
    <row r="716" spans="1:3" ht="11.25">
      <c r="A716" s="43">
        <f t="shared" si="7"/>
        <v>24.625</v>
      </c>
      <c r="B716" s="972"/>
      <c r="C716" s="981" t="s">
        <v>467</v>
      </c>
    </row>
    <row r="717" spans="1:3" ht="11.25">
      <c r="A717" s="43">
        <f t="shared" si="7"/>
        <v>24.6875</v>
      </c>
      <c r="B717" s="972"/>
      <c r="C717" s="981" t="s">
        <v>468</v>
      </c>
    </row>
    <row r="718" spans="1:3" ht="11.25">
      <c r="A718" s="43">
        <f t="shared" si="7"/>
        <v>24.75</v>
      </c>
      <c r="B718" s="972"/>
      <c r="C718" s="981" t="s">
        <v>469</v>
      </c>
    </row>
    <row r="719" spans="1:3" ht="11.25">
      <c r="A719" s="43">
        <f t="shared" si="7"/>
        <v>24.8125</v>
      </c>
      <c r="B719" s="972"/>
      <c r="C719" s="981" t="s">
        <v>470</v>
      </c>
    </row>
    <row r="720" spans="1:3" ht="11.25">
      <c r="A720" s="43">
        <f t="shared" si="7"/>
        <v>24.875</v>
      </c>
      <c r="B720" s="972"/>
      <c r="C720" s="981" t="s">
        <v>471</v>
      </c>
    </row>
    <row r="721" spans="1:3" ht="11.25">
      <c r="A721" s="43">
        <f t="shared" si="7"/>
        <v>24.9375</v>
      </c>
      <c r="B721" s="972"/>
      <c r="C721" s="981" t="s">
        <v>472</v>
      </c>
    </row>
    <row r="722" spans="1:3" ht="11.25">
      <c r="A722" s="43">
        <f t="shared" si="7"/>
        <v>25</v>
      </c>
      <c r="B722" s="972"/>
      <c r="C722" s="981" t="s">
        <v>473</v>
      </c>
    </row>
    <row r="723" spans="1:3" ht="11.25">
      <c r="A723" s="43">
        <f aca="true" t="shared" si="8" ref="A723:A786">A722+0.0625</f>
        <v>25.0625</v>
      </c>
      <c r="B723" s="972"/>
      <c r="C723" s="981" t="s">
        <v>474</v>
      </c>
    </row>
    <row r="724" spans="1:3" ht="11.25">
      <c r="A724" s="43">
        <f t="shared" si="8"/>
        <v>25.125</v>
      </c>
      <c r="B724" s="972"/>
      <c r="C724" s="981" t="s">
        <v>475</v>
      </c>
    </row>
    <row r="725" spans="1:3" ht="11.25">
      <c r="A725" s="43">
        <f t="shared" si="8"/>
        <v>25.1875</v>
      </c>
      <c r="B725" s="972"/>
      <c r="C725" s="981" t="s">
        <v>476</v>
      </c>
    </row>
    <row r="726" spans="1:3" ht="11.25">
      <c r="A726" s="43">
        <f t="shared" si="8"/>
        <v>25.25</v>
      </c>
      <c r="B726" s="972"/>
      <c r="C726" s="981" t="s">
        <v>477</v>
      </c>
    </row>
    <row r="727" spans="1:3" ht="11.25">
      <c r="A727" s="43">
        <f t="shared" si="8"/>
        <v>25.3125</v>
      </c>
      <c r="B727" s="972"/>
      <c r="C727" s="981" t="s">
        <v>478</v>
      </c>
    </row>
    <row r="728" spans="1:3" ht="11.25">
      <c r="A728" s="43">
        <f t="shared" si="8"/>
        <v>25.375</v>
      </c>
      <c r="B728" s="972"/>
      <c r="C728" s="981" t="s">
        <v>479</v>
      </c>
    </row>
    <row r="729" spans="1:3" ht="11.25">
      <c r="A729" s="43">
        <f t="shared" si="8"/>
        <v>25.4375</v>
      </c>
      <c r="B729" s="972"/>
      <c r="C729" s="981" t="s">
        <v>480</v>
      </c>
    </row>
    <row r="730" spans="1:3" ht="11.25">
      <c r="A730" s="43">
        <f t="shared" si="8"/>
        <v>25.5</v>
      </c>
      <c r="B730" s="972"/>
      <c r="C730" s="981" t="s">
        <v>481</v>
      </c>
    </row>
    <row r="731" spans="1:3" ht="11.25">
      <c r="A731" s="43">
        <f t="shared" si="8"/>
        <v>25.5625</v>
      </c>
      <c r="B731" s="972"/>
      <c r="C731" s="981" t="s">
        <v>482</v>
      </c>
    </row>
    <row r="732" spans="1:3" ht="11.25">
      <c r="A732" s="43">
        <f t="shared" si="8"/>
        <v>25.625</v>
      </c>
      <c r="B732" s="972"/>
      <c r="C732" s="981" t="s">
        <v>483</v>
      </c>
    </row>
    <row r="733" spans="1:3" ht="11.25">
      <c r="A733" s="43">
        <f t="shared" si="8"/>
        <v>25.6875</v>
      </c>
      <c r="B733" s="972"/>
      <c r="C733" s="981" t="s">
        <v>484</v>
      </c>
    </row>
    <row r="734" spans="1:3" ht="11.25">
      <c r="A734" s="43">
        <f t="shared" si="8"/>
        <v>25.75</v>
      </c>
      <c r="B734" s="972"/>
      <c r="C734" s="981" t="s">
        <v>485</v>
      </c>
    </row>
    <row r="735" spans="1:3" ht="11.25">
      <c r="A735" s="43">
        <f t="shared" si="8"/>
        <v>25.8125</v>
      </c>
      <c r="B735" s="972"/>
      <c r="C735" s="981" t="s">
        <v>486</v>
      </c>
    </row>
    <row r="736" spans="1:3" ht="11.25">
      <c r="A736" s="43">
        <f t="shared" si="8"/>
        <v>25.875</v>
      </c>
      <c r="B736" s="972"/>
      <c r="C736" s="981" t="s">
        <v>487</v>
      </c>
    </row>
    <row r="737" spans="1:3" ht="11.25">
      <c r="A737" s="43">
        <f t="shared" si="8"/>
        <v>25.9375</v>
      </c>
      <c r="B737" s="972"/>
      <c r="C737" s="981" t="s">
        <v>488</v>
      </c>
    </row>
    <row r="738" spans="1:3" ht="11.25">
      <c r="A738" s="43">
        <f t="shared" si="8"/>
        <v>26</v>
      </c>
      <c r="B738" s="972"/>
      <c r="C738" s="981" t="s">
        <v>489</v>
      </c>
    </row>
    <row r="739" spans="1:3" ht="11.25">
      <c r="A739" s="43">
        <f t="shared" si="8"/>
        <v>26.0625</v>
      </c>
      <c r="B739" s="972"/>
      <c r="C739" s="981" t="s">
        <v>490</v>
      </c>
    </row>
    <row r="740" spans="1:3" ht="11.25">
      <c r="A740" s="43">
        <f t="shared" si="8"/>
        <v>26.125</v>
      </c>
      <c r="B740" s="972"/>
      <c r="C740" s="981" t="s">
        <v>491</v>
      </c>
    </row>
    <row r="741" spans="1:3" ht="11.25">
      <c r="A741" s="43">
        <f t="shared" si="8"/>
        <v>26.1875</v>
      </c>
      <c r="B741" s="972"/>
      <c r="C741" s="981" t="s">
        <v>492</v>
      </c>
    </row>
    <row r="742" spans="1:3" ht="11.25">
      <c r="A742" s="43">
        <f t="shared" si="8"/>
        <v>26.25</v>
      </c>
      <c r="B742" s="972"/>
      <c r="C742" s="981" t="s">
        <v>493</v>
      </c>
    </row>
    <row r="743" spans="1:3" ht="11.25">
      <c r="A743" s="43">
        <f t="shared" si="8"/>
        <v>26.3125</v>
      </c>
      <c r="B743" s="972"/>
      <c r="C743" s="981" t="s">
        <v>494</v>
      </c>
    </row>
    <row r="744" spans="1:3" ht="11.25">
      <c r="A744" s="43">
        <f t="shared" si="8"/>
        <v>26.375</v>
      </c>
      <c r="B744" s="972"/>
      <c r="C744" s="981" t="s">
        <v>495</v>
      </c>
    </row>
    <row r="745" spans="1:3" ht="11.25">
      <c r="A745" s="43">
        <f t="shared" si="8"/>
        <v>26.4375</v>
      </c>
      <c r="B745" s="972"/>
      <c r="C745" s="981" t="s">
        <v>496</v>
      </c>
    </row>
    <row r="746" spans="1:3" ht="11.25">
      <c r="A746" s="43">
        <f t="shared" si="8"/>
        <v>26.5</v>
      </c>
      <c r="B746" s="972"/>
      <c r="C746" s="981" t="s">
        <v>497</v>
      </c>
    </row>
    <row r="747" spans="1:3" ht="11.25">
      <c r="A747" s="43">
        <f t="shared" si="8"/>
        <v>26.5625</v>
      </c>
      <c r="B747" s="972"/>
      <c r="C747" s="981" t="s">
        <v>498</v>
      </c>
    </row>
    <row r="748" spans="1:3" ht="11.25">
      <c r="A748" s="43">
        <f t="shared" si="8"/>
        <v>26.625</v>
      </c>
      <c r="B748" s="972"/>
      <c r="C748" s="981" t="s">
        <v>499</v>
      </c>
    </row>
    <row r="749" spans="1:3" ht="11.25">
      <c r="A749" s="43">
        <f t="shared" si="8"/>
        <v>26.6875</v>
      </c>
      <c r="B749" s="972"/>
      <c r="C749" s="981" t="s">
        <v>500</v>
      </c>
    </row>
    <row r="750" spans="1:3" ht="11.25">
      <c r="A750" s="43">
        <f t="shared" si="8"/>
        <v>26.75</v>
      </c>
      <c r="B750" s="972"/>
      <c r="C750" s="981" t="s">
        <v>501</v>
      </c>
    </row>
    <row r="751" spans="1:3" ht="11.25">
      <c r="A751" s="43">
        <f t="shared" si="8"/>
        <v>26.8125</v>
      </c>
      <c r="B751" s="972"/>
      <c r="C751" s="981" t="s">
        <v>502</v>
      </c>
    </row>
    <row r="752" spans="1:3" ht="11.25">
      <c r="A752" s="43">
        <f t="shared" si="8"/>
        <v>26.875</v>
      </c>
      <c r="B752" s="972"/>
      <c r="C752" s="981" t="s">
        <v>503</v>
      </c>
    </row>
    <row r="753" spans="1:3" ht="11.25">
      <c r="A753" s="43">
        <f t="shared" si="8"/>
        <v>26.9375</v>
      </c>
      <c r="B753" s="972"/>
      <c r="C753" s="981" t="s">
        <v>504</v>
      </c>
    </row>
    <row r="754" spans="1:3" ht="11.25">
      <c r="A754" s="43">
        <f t="shared" si="8"/>
        <v>27</v>
      </c>
      <c r="B754" s="972"/>
      <c r="C754" s="981" t="s">
        <v>505</v>
      </c>
    </row>
    <row r="755" spans="1:3" ht="11.25">
      <c r="A755" s="43">
        <f t="shared" si="8"/>
        <v>27.0625</v>
      </c>
      <c r="B755" s="972"/>
      <c r="C755" s="981" t="s">
        <v>506</v>
      </c>
    </row>
    <row r="756" spans="1:3" ht="11.25">
      <c r="A756" s="43">
        <f t="shared" si="8"/>
        <v>27.125</v>
      </c>
      <c r="B756" s="972"/>
      <c r="C756" s="981" t="s">
        <v>507</v>
      </c>
    </row>
    <row r="757" spans="1:3" ht="11.25">
      <c r="A757" s="43">
        <f t="shared" si="8"/>
        <v>27.1875</v>
      </c>
      <c r="B757" s="972"/>
      <c r="C757" s="981" t="s">
        <v>508</v>
      </c>
    </row>
    <row r="758" spans="1:3" ht="11.25">
      <c r="A758" s="43">
        <f t="shared" si="8"/>
        <v>27.25</v>
      </c>
      <c r="B758" s="972"/>
      <c r="C758" s="981" t="s">
        <v>509</v>
      </c>
    </row>
    <row r="759" spans="1:3" ht="11.25">
      <c r="A759" s="43">
        <f t="shared" si="8"/>
        <v>27.3125</v>
      </c>
      <c r="B759" s="972"/>
      <c r="C759" s="981" t="s">
        <v>510</v>
      </c>
    </row>
    <row r="760" spans="1:3" ht="11.25">
      <c r="A760" s="43">
        <f t="shared" si="8"/>
        <v>27.375</v>
      </c>
      <c r="B760" s="972"/>
      <c r="C760" s="981" t="s">
        <v>511</v>
      </c>
    </row>
    <row r="761" spans="1:3" ht="11.25">
      <c r="A761" s="43">
        <f t="shared" si="8"/>
        <v>27.4375</v>
      </c>
      <c r="B761" s="972"/>
      <c r="C761" s="981" t="s">
        <v>512</v>
      </c>
    </row>
    <row r="762" spans="1:3" ht="11.25">
      <c r="A762" s="43">
        <f t="shared" si="8"/>
        <v>27.5</v>
      </c>
      <c r="B762" s="972"/>
      <c r="C762" s="981" t="s">
        <v>513</v>
      </c>
    </row>
    <row r="763" spans="1:3" ht="11.25">
      <c r="A763" s="43">
        <f t="shared" si="8"/>
        <v>27.5625</v>
      </c>
      <c r="B763" s="972"/>
      <c r="C763" s="981" t="s">
        <v>514</v>
      </c>
    </row>
    <row r="764" spans="1:3" ht="11.25">
      <c r="A764" s="43">
        <f t="shared" si="8"/>
        <v>27.625</v>
      </c>
      <c r="B764" s="972"/>
      <c r="C764" s="981" t="s">
        <v>515</v>
      </c>
    </row>
    <row r="765" spans="1:3" ht="11.25">
      <c r="A765" s="43">
        <f t="shared" si="8"/>
        <v>27.6875</v>
      </c>
      <c r="B765" s="972"/>
      <c r="C765" s="981" t="s">
        <v>516</v>
      </c>
    </row>
    <row r="766" spans="1:3" ht="11.25">
      <c r="A766" s="43">
        <f t="shared" si="8"/>
        <v>27.75</v>
      </c>
      <c r="B766" s="972"/>
      <c r="C766" s="981" t="s">
        <v>517</v>
      </c>
    </row>
    <row r="767" spans="1:3" ht="11.25">
      <c r="A767" s="43">
        <f t="shared" si="8"/>
        <v>27.8125</v>
      </c>
      <c r="B767" s="972"/>
      <c r="C767" s="981" t="s">
        <v>518</v>
      </c>
    </row>
    <row r="768" spans="1:3" ht="11.25">
      <c r="A768" s="43">
        <f t="shared" si="8"/>
        <v>27.875</v>
      </c>
      <c r="B768" s="972"/>
      <c r="C768" s="981" t="s">
        <v>519</v>
      </c>
    </row>
    <row r="769" spans="1:3" ht="11.25">
      <c r="A769" s="43">
        <f t="shared" si="8"/>
        <v>27.9375</v>
      </c>
      <c r="B769" s="972"/>
      <c r="C769" s="981" t="s">
        <v>520</v>
      </c>
    </row>
    <row r="770" spans="1:3" ht="11.25">
      <c r="A770" s="43">
        <f t="shared" si="8"/>
        <v>28</v>
      </c>
      <c r="B770" s="972"/>
      <c r="C770" s="981" t="s">
        <v>521</v>
      </c>
    </row>
    <row r="771" spans="1:3" ht="11.25">
      <c r="A771" s="43">
        <f t="shared" si="8"/>
        <v>28.0625</v>
      </c>
      <c r="B771" s="972"/>
      <c r="C771" s="981" t="s">
        <v>522</v>
      </c>
    </row>
    <row r="772" spans="1:3" ht="11.25">
      <c r="A772" s="43">
        <f t="shared" si="8"/>
        <v>28.125</v>
      </c>
      <c r="B772" s="972"/>
      <c r="C772" s="981" t="s">
        <v>523</v>
      </c>
    </row>
    <row r="773" spans="1:3" ht="11.25">
      <c r="A773" s="43">
        <f t="shared" si="8"/>
        <v>28.1875</v>
      </c>
      <c r="B773" s="972"/>
      <c r="C773" s="981" t="s">
        <v>524</v>
      </c>
    </row>
    <row r="774" spans="1:3" ht="11.25">
      <c r="A774" s="43">
        <f t="shared" si="8"/>
        <v>28.25</v>
      </c>
      <c r="B774" s="972"/>
      <c r="C774" s="981" t="s">
        <v>525</v>
      </c>
    </row>
    <row r="775" spans="1:3" ht="11.25">
      <c r="A775" s="43">
        <f t="shared" si="8"/>
        <v>28.3125</v>
      </c>
      <c r="B775" s="972"/>
      <c r="C775" s="981" t="s">
        <v>526</v>
      </c>
    </row>
    <row r="776" spans="1:3" ht="11.25">
      <c r="A776" s="43">
        <f t="shared" si="8"/>
        <v>28.375</v>
      </c>
      <c r="B776" s="972"/>
      <c r="C776" s="981" t="s">
        <v>527</v>
      </c>
    </row>
    <row r="777" spans="1:3" ht="11.25">
      <c r="A777" s="43">
        <f t="shared" si="8"/>
        <v>28.4375</v>
      </c>
      <c r="B777" s="972"/>
      <c r="C777" s="981" t="s">
        <v>528</v>
      </c>
    </row>
    <row r="778" spans="1:3" ht="11.25">
      <c r="A778" s="43">
        <f t="shared" si="8"/>
        <v>28.5</v>
      </c>
      <c r="B778" s="972"/>
      <c r="C778" s="981" t="s">
        <v>529</v>
      </c>
    </row>
    <row r="779" spans="1:3" ht="11.25">
      <c r="A779" s="43">
        <f t="shared" si="8"/>
        <v>28.5625</v>
      </c>
      <c r="B779" s="972"/>
      <c r="C779" s="981" t="s">
        <v>530</v>
      </c>
    </row>
    <row r="780" spans="1:3" ht="11.25">
      <c r="A780" s="43">
        <f t="shared" si="8"/>
        <v>28.625</v>
      </c>
      <c r="B780" s="972"/>
      <c r="C780" s="981" t="s">
        <v>531</v>
      </c>
    </row>
    <row r="781" spans="1:3" ht="11.25">
      <c r="A781" s="43">
        <f t="shared" si="8"/>
        <v>28.6875</v>
      </c>
      <c r="B781" s="972"/>
      <c r="C781" s="981" t="s">
        <v>532</v>
      </c>
    </row>
    <row r="782" spans="1:3" ht="11.25">
      <c r="A782" s="43">
        <f t="shared" si="8"/>
        <v>28.75</v>
      </c>
      <c r="B782" s="972"/>
      <c r="C782" s="981" t="s">
        <v>533</v>
      </c>
    </row>
    <row r="783" spans="1:3" ht="11.25">
      <c r="A783" s="43">
        <f t="shared" si="8"/>
        <v>28.8125</v>
      </c>
      <c r="B783" s="972"/>
      <c r="C783" s="981" t="s">
        <v>534</v>
      </c>
    </row>
    <row r="784" spans="1:3" ht="11.25">
      <c r="A784" s="43">
        <f t="shared" si="8"/>
        <v>28.875</v>
      </c>
      <c r="B784" s="972"/>
      <c r="C784" s="981" t="s">
        <v>535</v>
      </c>
    </row>
    <row r="785" spans="1:3" ht="11.25">
      <c r="A785" s="43">
        <f t="shared" si="8"/>
        <v>28.9375</v>
      </c>
      <c r="B785" s="972"/>
      <c r="C785" s="981" t="s">
        <v>536</v>
      </c>
    </row>
    <row r="786" spans="1:3" ht="11.25">
      <c r="A786" s="43">
        <f t="shared" si="8"/>
        <v>29</v>
      </c>
      <c r="B786" s="972"/>
      <c r="C786" s="981" t="s">
        <v>537</v>
      </c>
    </row>
    <row r="787" spans="1:3" ht="11.25">
      <c r="A787" s="43">
        <f aca="true" t="shared" si="9" ref="A787:A804">A786+0.0625</f>
        <v>29.0625</v>
      </c>
      <c r="B787" s="972"/>
      <c r="C787" s="981" t="s">
        <v>538</v>
      </c>
    </row>
    <row r="788" spans="1:3" ht="11.25">
      <c r="A788" s="43">
        <f t="shared" si="9"/>
        <v>29.125</v>
      </c>
      <c r="B788" s="972"/>
      <c r="C788" s="981" t="s">
        <v>539</v>
      </c>
    </row>
    <row r="789" spans="1:3" ht="11.25">
      <c r="A789" s="43">
        <f t="shared" si="9"/>
        <v>29.1875</v>
      </c>
      <c r="B789" s="972"/>
      <c r="C789" s="981" t="s">
        <v>540</v>
      </c>
    </row>
    <row r="790" spans="1:3" ht="11.25">
      <c r="A790" s="43">
        <f t="shared" si="9"/>
        <v>29.25</v>
      </c>
      <c r="B790" s="972"/>
      <c r="C790" s="981" t="s">
        <v>541</v>
      </c>
    </row>
    <row r="791" spans="1:3" ht="11.25">
      <c r="A791" s="43">
        <f t="shared" si="9"/>
        <v>29.3125</v>
      </c>
      <c r="B791" s="972"/>
      <c r="C791" s="981" t="s">
        <v>542</v>
      </c>
    </row>
    <row r="792" spans="1:3" ht="11.25">
      <c r="A792" s="43">
        <f t="shared" si="9"/>
        <v>29.375</v>
      </c>
      <c r="B792" s="972"/>
      <c r="C792" s="981" t="s">
        <v>543</v>
      </c>
    </row>
    <row r="793" spans="1:3" ht="11.25">
      <c r="A793" s="43">
        <f t="shared" si="9"/>
        <v>29.4375</v>
      </c>
      <c r="B793" s="972"/>
      <c r="C793" s="981" t="s">
        <v>544</v>
      </c>
    </row>
    <row r="794" spans="1:3" ht="11.25">
      <c r="A794" s="43">
        <f t="shared" si="9"/>
        <v>29.5</v>
      </c>
      <c r="B794" s="972"/>
      <c r="C794" s="981" t="s">
        <v>545</v>
      </c>
    </row>
    <row r="795" spans="1:3" ht="11.25">
      <c r="A795" s="43">
        <f t="shared" si="9"/>
        <v>29.5625</v>
      </c>
      <c r="B795" s="972"/>
      <c r="C795" s="981" t="s">
        <v>546</v>
      </c>
    </row>
    <row r="796" spans="1:3" ht="11.25">
      <c r="A796" s="43">
        <f t="shared" si="9"/>
        <v>29.625</v>
      </c>
      <c r="B796" s="972"/>
      <c r="C796" s="981" t="s">
        <v>547</v>
      </c>
    </row>
    <row r="797" spans="1:3" ht="11.25">
      <c r="A797" s="43">
        <f t="shared" si="9"/>
        <v>29.6875</v>
      </c>
      <c r="B797" s="972"/>
      <c r="C797" s="981" t="s">
        <v>548</v>
      </c>
    </row>
    <row r="798" spans="1:3" ht="11.25">
      <c r="A798" s="43">
        <f t="shared" si="9"/>
        <v>29.75</v>
      </c>
      <c r="B798" s="972"/>
      <c r="C798" s="981" t="s">
        <v>549</v>
      </c>
    </row>
    <row r="799" spans="1:3" ht="11.25">
      <c r="A799" s="43">
        <f t="shared" si="9"/>
        <v>29.8125</v>
      </c>
      <c r="B799" s="972"/>
      <c r="C799" s="981" t="s">
        <v>550</v>
      </c>
    </row>
    <row r="800" spans="1:3" ht="11.25">
      <c r="A800" s="43">
        <f t="shared" si="9"/>
        <v>29.875</v>
      </c>
      <c r="B800" s="972"/>
      <c r="C800" s="981" t="s">
        <v>551</v>
      </c>
    </row>
    <row r="801" spans="1:3" ht="11.25">
      <c r="A801" s="43">
        <f t="shared" si="9"/>
        <v>29.9375</v>
      </c>
      <c r="B801" s="972"/>
      <c r="C801" s="981" t="s">
        <v>552</v>
      </c>
    </row>
    <row r="802" spans="1:3" ht="11.25">
      <c r="A802" s="43">
        <f t="shared" si="9"/>
        <v>30</v>
      </c>
      <c r="B802" s="972"/>
      <c r="C802" s="981" t="s">
        <v>553</v>
      </c>
    </row>
    <row r="803" spans="1:3" ht="11.25">
      <c r="A803" s="43">
        <f t="shared" si="9"/>
        <v>30.0625</v>
      </c>
      <c r="B803" s="972"/>
      <c r="C803" s="981" t="s">
        <v>554</v>
      </c>
    </row>
    <row r="804" spans="1:3" ht="11.25">
      <c r="A804" s="44">
        <f t="shared" si="9"/>
        <v>30.125</v>
      </c>
      <c r="B804" s="982"/>
      <c r="C804" s="983" t="s">
        <v>555</v>
      </c>
    </row>
  </sheetData>
  <sheetProtection sheet="1" objects="1" scenarios="1"/>
  <mergeCells count="4">
    <mergeCell ref="F1:H1"/>
    <mergeCell ref="F68:H68"/>
    <mergeCell ref="F264:H264"/>
    <mergeCell ref="F289:H28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IQ11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4.00390625" style="0" customWidth="1"/>
    <col min="2" max="2" width="11.28125" style="0" customWidth="1"/>
    <col min="3" max="3" width="10.7109375" style="0" customWidth="1"/>
    <col min="4" max="4" width="13.8515625" style="0" customWidth="1"/>
    <col min="5" max="5" width="18.7109375" style="0" customWidth="1"/>
    <col min="6" max="6" width="15.00390625" style="0" customWidth="1"/>
    <col min="7" max="7" width="12.00390625" style="0" customWidth="1"/>
    <col min="8" max="8" width="15.8515625" style="0" customWidth="1"/>
    <col min="9" max="9" width="12.8515625" style="0" customWidth="1"/>
    <col min="10" max="10" width="10.7109375" style="0" customWidth="1"/>
  </cols>
  <sheetData>
    <row r="1" spans="1:11" ht="12.75">
      <c r="A1" s="1023" t="s">
        <v>861</v>
      </c>
      <c r="B1" s="1024"/>
      <c r="C1" s="1024"/>
      <c r="D1" s="493"/>
      <c r="E1" s="493"/>
      <c r="F1" s="493"/>
      <c r="G1" s="493"/>
      <c r="H1" s="493"/>
      <c r="I1" s="493"/>
      <c r="J1" s="493"/>
      <c r="K1" s="493"/>
    </row>
    <row r="2" spans="1:11" ht="12.75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</row>
    <row r="3" spans="1:251" ht="12.75">
      <c r="A3" s="494" t="s">
        <v>856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IQ3" t="s">
        <v>1050</v>
      </c>
    </row>
    <row r="4" spans="1:251" ht="4.5" customHeight="1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  <c r="IQ4" s="13">
        <f>IF(Data!D71="","",Data!D71)</f>
        <v>0</v>
      </c>
    </row>
    <row r="5" spans="1:251" ht="15.75">
      <c r="A5" s="1025" t="s">
        <v>84</v>
      </c>
      <c r="B5" s="1026"/>
      <c r="C5" s="1026"/>
      <c r="D5" s="1026"/>
      <c r="E5" s="1026"/>
      <c r="F5" s="1026"/>
      <c r="G5" s="1026"/>
      <c r="H5" s="1026"/>
      <c r="I5" s="1026"/>
      <c r="J5" s="1026"/>
      <c r="K5" s="1026"/>
      <c r="O5" s="4"/>
      <c r="IQ5" s="13">
        <f>IF(Data!D72="","",Data!D72)</f>
        <v>0</v>
      </c>
    </row>
    <row r="6" spans="1:251" ht="12.75">
      <c r="A6" s="1027" t="s">
        <v>101</v>
      </c>
      <c r="B6" s="1026"/>
      <c r="C6" s="1026"/>
      <c r="D6" s="1026"/>
      <c r="E6" s="1026"/>
      <c r="F6" s="1026"/>
      <c r="G6" s="1026"/>
      <c r="H6" s="1026"/>
      <c r="I6" s="1026"/>
      <c r="J6" s="1026"/>
      <c r="K6" s="1026"/>
      <c r="O6" s="4"/>
      <c r="IQ6" s="13"/>
    </row>
    <row r="7" spans="1:251" ht="12.75">
      <c r="A7" s="1027" t="s">
        <v>102</v>
      </c>
      <c r="B7" s="1026"/>
      <c r="C7" s="1026"/>
      <c r="D7" s="1026"/>
      <c r="E7" s="1026"/>
      <c r="F7" s="1026"/>
      <c r="G7" s="1026"/>
      <c r="H7" s="1026"/>
      <c r="I7" s="1026"/>
      <c r="J7" s="1026"/>
      <c r="K7" s="1026"/>
      <c r="O7" s="4"/>
      <c r="IQ7" s="13"/>
    </row>
    <row r="8" spans="1:251" ht="12.75">
      <c r="A8" s="1018" t="s">
        <v>1263</v>
      </c>
      <c r="B8" s="1019"/>
      <c r="C8" s="1019"/>
      <c r="D8" s="1019"/>
      <c r="E8" s="1019"/>
      <c r="F8" s="1019"/>
      <c r="G8" s="1019"/>
      <c r="H8" s="1019"/>
      <c r="I8" s="1019"/>
      <c r="J8" s="1019"/>
      <c r="K8" s="1019"/>
      <c r="O8" s="4"/>
      <c r="IQ8" s="13"/>
    </row>
    <row r="9" spans="1:251" ht="12.75">
      <c r="A9" s="496" t="s">
        <v>1003</v>
      </c>
      <c r="B9" s="497">
        <f>IF(Input!$B$7="","",Input!$B$7)</f>
      </c>
      <c r="C9" s="498"/>
      <c r="D9" s="1020" t="s">
        <v>107</v>
      </c>
      <c r="E9" s="500">
        <v>1</v>
      </c>
      <c r="F9" s="501">
        <f>IF(Input!$C$64="","",Input!$C$64)</f>
      </c>
      <c r="G9" s="500">
        <v>5</v>
      </c>
      <c r="H9" s="501">
        <f>IF(Input!$E$64="","",Input!$E$64)</f>
      </c>
      <c r="I9" s="502" t="s">
        <v>560</v>
      </c>
      <c r="J9" s="607"/>
      <c r="K9" s="503"/>
      <c r="O9" s="4"/>
      <c r="IQ9" s="13">
        <f>IF(Data!D73="","",Data!D73)</f>
        <v>0</v>
      </c>
    </row>
    <row r="10" spans="1:251" ht="12.75">
      <c r="A10" s="496" t="s">
        <v>103</v>
      </c>
      <c r="B10" s="497">
        <f>IF(Input!$B$8="","",Input!$B$8)</f>
      </c>
      <c r="C10" s="498"/>
      <c r="D10" s="1021"/>
      <c r="E10" s="500">
        <v>2</v>
      </c>
      <c r="F10" s="501">
        <f>IF(Input!$C$65="","",Input!$C$65)</f>
      </c>
      <c r="G10" s="500">
        <v>6</v>
      </c>
      <c r="H10" s="501">
        <f>IF(Input!$E$65="","",Input!$E$65)</f>
      </c>
      <c r="I10" s="505" t="s">
        <v>50</v>
      </c>
      <c r="J10" s="506">
        <f ca="1">TODAY()</f>
        <v>40878</v>
      </c>
      <c r="K10" s="503"/>
      <c r="IQ10" s="13">
        <f>IF(Data!D74="","",Data!D74)</f>
        <v>0</v>
      </c>
    </row>
    <row r="11" spans="1:251" ht="12.75">
      <c r="A11" s="496" t="s">
        <v>1041</v>
      </c>
      <c r="B11" s="497">
        <f>IF(Input!$B$10="","",Input!$B$10)</f>
      </c>
      <c r="C11" s="498"/>
      <c r="D11" s="1021"/>
      <c r="E11" s="500">
        <v>3</v>
      </c>
      <c r="F11" s="501">
        <f>IF(Input!$C$66="","",Input!$C$66)</f>
      </c>
      <c r="G11" s="500">
        <v>7</v>
      </c>
      <c r="H11" s="501">
        <f>IF(Input!$E$66="","",Input!$E$66)</f>
      </c>
      <c r="I11" s="496" t="s">
        <v>1034</v>
      </c>
      <c r="J11" s="507">
        <f>IF(Input!$B$30="","",Input!$B$30)</f>
      </c>
      <c r="K11" s="508"/>
      <c r="IQ11" s="13">
        <f>IF(Data!D75="","",Data!D75)</f>
        <v>0</v>
      </c>
    </row>
    <row r="12" spans="1:251" ht="12.75">
      <c r="A12" s="496" t="s">
        <v>1004</v>
      </c>
      <c r="B12" s="497">
        <f>IF(Input!$E$5="","",Input!$E$5)</f>
      </c>
      <c r="C12" s="498"/>
      <c r="D12" s="1022"/>
      <c r="E12" s="500">
        <v>4</v>
      </c>
      <c r="F12" s="501">
        <f>IF(Input!$C$67="","",Input!$C$67)</f>
      </c>
      <c r="G12" s="500">
        <v>8</v>
      </c>
      <c r="H12" s="501">
        <f>IF(Input!$E$67="","",Input!$E$67)</f>
      </c>
      <c r="I12" s="496" t="s">
        <v>1035</v>
      </c>
      <c r="J12" s="507">
        <f>IF(Input!$B$31="","",Input!$B$31)</f>
      </c>
      <c r="K12" s="508"/>
      <c r="IQ12" s="13">
        <f>IF(Data!D76="","",Data!D76)</f>
        <v>0</v>
      </c>
    </row>
    <row r="13" spans="1:251" ht="12.75">
      <c r="A13" s="510" t="s">
        <v>49</v>
      </c>
      <c r="B13" s="497">
        <f>IF(Input!$E$6="","",Input!$E$6)</f>
      </c>
      <c r="C13" s="498"/>
      <c r="D13" s="496" t="s">
        <v>1017</v>
      </c>
      <c r="E13" s="511">
        <f>IF(Input!$B$68="","",Input!$B$68)</f>
      </c>
      <c r="F13" s="512"/>
      <c r="G13" s="512"/>
      <c r="H13" s="512"/>
      <c r="I13" s="496" t="s">
        <v>1030</v>
      </c>
      <c r="J13" s="507">
        <f>IF(Input!$B$32="","",Input!$B$32)</f>
      </c>
      <c r="K13" s="508"/>
      <c r="IQ13" s="13">
        <f>IF(Data!D77="","",Data!D77)</f>
        <v>0</v>
      </c>
    </row>
    <row r="14" spans="1:251" ht="12.75">
      <c r="A14" s="510" t="s">
        <v>106</v>
      </c>
      <c r="B14" s="497">
        <f>IF(Input!$E$7="","",Input!$E$7)</f>
      </c>
      <c r="C14" s="498"/>
      <c r="D14" s="496" t="s">
        <v>1018</v>
      </c>
      <c r="E14" s="511">
        <f>IF(Input!$B$69="","",Input!$B$69)</f>
      </c>
      <c r="F14" s="512"/>
      <c r="G14" s="512"/>
      <c r="H14" s="512"/>
      <c r="I14" s="496" t="s">
        <v>1036</v>
      </c>
      <c r="J14" s="507">
        <f>IF(Input!$B$33="","",Input!$B$33)</f>
      </c>
      <c r="K14" s="508"/>
      <c r="IQ14" s="13"/>
    </row>
    <row r="15" spans="1:251" ht="12.75">
      <c r="A15" s="510" t="s">
        <v>48</v>
      </c>
      <c r="B15" s="497">
        <f>IF(Input!$E$8="","",Input!$E$8)</f>
      </c>
      <c r="C15" s="498"/>
      <c r="D15" s="496" t="s">
        <v>1019</v>
      </c>
      <c r="E15" s="511">
        <f>IF(Input!$B$70="","",Input!$B$70)</f>
      </c>
      <c r="F15" s="512"/>
      <c r="G15" s="512"/>
      <c r="H15" s="512"/>
      <c r="I15" s="496" t="s">
        <v>1033</v>
      </c>
      <c r="J15" s="507">
        <f>IF(Input!$B$34="","",Input!$B$34)</f>
      </c>
      <c r="K15" s="508"/>
      <c r="O15" s="40" t="s">
        <v>1055</v>
      </c>
      <c r="IQ15" s="13"/>
    </row>
    <row r="16" spans="1:251" ht="12.75">
      <c r="A16" s="496" t="s">
        <v>1039</v>
      </c>
      <c r="B16" s="497">
        <f>IF(Input!$B$37="","",Input!$B$37)</f>
      </c>
      <c r="C16" s="498"/>
      <c r="D16" s="496" t="s">
        <v>1020</v>
      </c>
      <c r="E16" s="511">
        <f>IF(Input!$B$71="","",Input!$B$71)</f>
      </c>
      <c r="F16" s="512"/>
      <c r="G16" s="512"/>
      <c r="H16" s="512"/>
      <c r="I16" s="496" t="s">
        <v>1037</v>
      </c>
      <c r="J16" s="507">
        <f>IF(Input!$B$35="","",Input!$B$35)</f>
      </c>
      <c r="K16" s="508"/>
      <c r="O16" s="40" t="s">
        <v>1056</v>
      </c>
      <c r="IQ16" s="13"/>
    </row>
    <row r="17" spans="1:251" ht="12.75">
      <c r="A17" s="496" t="s">
        <v>98</v>
      </c>
      <c r="B17" s="573"/>
      <c r="C17" s="574"/>
      <c r="D17" s="496" t="s">
        <v>1021</v>
      </c>
      <c r="E17" s="511">
        <f>IF(Input!$B$72="","",Input!$B$72)</f>
      </c>
      <c r="F17" s="512"/>
      <c r="G17" s="512"/>
      <c r="H17" s="512"/>
      <c r="I17" s="496" t="s">
        <v>1038</v>
      </c>
      <c r="J17" s="507">
        <f>IF(Input!$B$36="","",Input!$B$36)</f>
      </c>
      <c r="K17" s="508"/>
      <c r="IQ17" s="13"/>
    </row>
    <row r="18" spans="1:251" ht="12.75">
      <c r="A18" s="496" t="s">
        <v>104</v>
      </c>
      <c r="B18" s="497">
        <f>IF(Input!$B$9="","",Input!$B$9)</f>
      </c>
      <c r="C18" s="498"/>
      <c r="D18" s="496" t="s">
        <v>1022</v>
      </c>
      <c r="E18" s="511">
        <f>IF(Input!$B$73="","",Input!$B$73)</f>
      </c>
      <c r="F18" s="512"/>
      <c r="G18" s="512"/>
      <c r="H18" s="512"/>
      <c r="I18" s="513"/>
      <c r="J18" s="514"/>
      <c r="K18" s="515"/>
      <c r="O18" s="40" t="s">
        <v>1208</v>
      </c>
      <c r="IQ18" s="13"/>
    </row>
    <row r="19" spans="1:251" ht="12.75">
      <c r="A19" s="496" t="s">
        <v>105</v>
      </c>
      <c r="B19" s="516">
        <f>'Setup Bm Input'!$B$34</f>
      </c>
      <c r="C19" s="498" t="str">
        <f>IF(Input!$B$6="","",IF(Input!$B$6="E","in.",IF(Input!$B$6="M","mm")))</f>
        <v>in.</v>
      </c>
      <c r="D19" s="496" t="s">
        <v>1024</v>
      </c>
      <c r="E19" s="511">
        <f>IF('Setup Bm Input'!$A$46="","",'Setup Bm Input'!$A$46)</f>
      </c>
      <c r="F19" s="512"/>
      <c r="G19" s="512"/>
      <c r="H19" s="512"/>
      <c r="I19" s="7" t="s">
        <v>1310</v>
      </c>
      <c r="J19" s="518"/>
      <c r="K19" s="515"/>
      <c r="O19" s="40" t="s">
        <v>1209</v>
      </c>
      <c r="IQ19" s="13"/>
    </row>
    <row r="20" spans="1:251" ht="12.75">
      <c r="A20" s="493"/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IQ20" s="13"/>
    </row>
    <row r="21" spans="1:251" ht="12.75">
      <c r="A21" s="493"/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IQ21" s="13">
        <f>IF(Data!D78="","",Data!D78)</f>
        <v>0</v>
      </c>
    </row>
    <row r="22" spans="1:251" ht="12.75">
      <c r="A22" s="493"/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IQ22" s="13">
        <f>IF(Data!D79="","",Data!D79)</f>
        <v>0</v>
      </c>
    </row>
    <row r="23" spans="1:251" ht="12.75">
      <c r="A23" s="493"/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IQ23" s="13">
        <f>IF(Data!D80="","",Data!D80)</f>
        <v>0</v>
      </c>
    </row>
    <row r="24" spans="1:251" ht="15.75">
      <c r="A24" s="519"/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IQ24" s="13">
        <f>IF(Data!D81="","",Data!D81)</f>
        <v>0</v>
      </c>
    </row>
    <row r="25" spans="1:251" ht="12.75">
      <c r="A25" s="493"/>
      <c r="B25" s="493"/>
      <c r="C25" s="493"/>
      <c r="D25" s="493"/>
      <c r="E25" s="520"/>
      <c r="F25" s="521" t="s">
        <v>1073</v>
      </c>
      <c r="G25" s="522"/>
      <c r="H25" s="523"/>
      <c r="I25" s="521" t="s">
        <v>1074</v>
      </c>
      <c r="J25" s="522"/>
      <c r="K25" s="493"/>
      <c r="IQ25" s="13">
        <f>IF(Data!D82="","",Data!D82)</f>
        <v>0</v>
      </c>
    </row>
    <row r="26" spans="1:251" ht="12.75">
      <c r="A26" s="493" t="s">
        <v>1016</v>
      </c>
      <c r="B26" s="524">
        <f>IF(Input!$E$14="","",Input!$E$14)</f>
      </c>
      <c r="C26" s="525"/>
      <c r="D26" s="493"/>
      <c r="E26" s="526" t="s">
        <v>1000</v>
      </c>
      <c r="F26" s="90"/>
      <c r="G26" s="527" t="str">
        <f>IF(Input!$B$6="","",IF(Input!$B$6="E","in.",IF(Input!$B$6="M","mm")))</f>
        <v>in.</v>
      </c>
      <c r="H26" s="528" t="s">
        <v>73</v>
      </c>
      <c r="I26" s="167"/>
      <c r="J26" s="527" t="str">
        <f>IF(Input!$B$6="","",IF(Input!$B$6="E","in.",IF(Input!$B$6="M","mm")))</f>
        <v>in.</v>
      </c>
      <c r="K26" s="493"/>
      <c r="IQ26" s="13">
        <f>IF(Data!D83="","",Data!D83)</f>
        <v>0</v>
      </c>
    </row>
    <row r="27" spans="1:251" ht="15.75">
      <c r="A27" s="493"/>
      <c r="B27" s="529"/>
      <c r="C27" s="530"/>
      <c r="D27" s="493"/>
      <c r="E27" s="526" t="s">
        <v>1117</v>
      </c>
      <c r="F27" s="531"/>
      <c r="G27" s="532"/>
      <c r="H27" s="528" t="s">
        <v>1119</v>
      </c>
      <c r="I27" s="533"/>
      <c r="J27" s="532"/>
      <c r="K27" s="493"/>
      <c r="IQ27" s="13">
        <f>IF(Data!D84="","",Data!D84)</f>
        <v>0</v>
      </c>
    </row>
    <row r="28" spans="1:251" ht="12.75">
      <c r="A28" s="520"/>
      <c r="B28" s="534"/>
      <c r="C28" s="522"/>
      <c r="D28" s="493"/>
      <c r="E28" s="535"/>
      <c r="F28" s="531"/>
      <c r="G28" s="532"/>
      <c r="H28" s="530"/>
      <c r="I28" s="536"/>
      <c r="J28" s="532"/>
      <c r="K28" s="49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IQ28" s="13">
        <f>IF(Data!D86="","",Data!D86)</f>
        <v>0</v>
      </c>
    </row>
    <row r="29" spans="1:251" ht="15.75">
      <c r="A29" s="526" t="s">
        <v>1115</v>
      </c>
      <c r="B29" s="25"/>
      <c r="C29" s="537" t="str">
        <f>IF(Input!$B$6="","",IF(Input!$B$6="E","lbs.",IF(Input!$B$6="M","N")))</f>
        <v>lbs.</v>
      </c>
      <c r="D29" s="493"/>
      <c r="E29" s="538" t="s">
        <v>1070</v>
      </c>
      <c r="F29" s="124"/>
      <c r="G29" s="527"/>
      <c r="H29" s="528" t="s">
        <v>1120</v>
      </c>
      <c r="I29" s="167"/>
      <c r="J29" s="527" t="str">
        <f>IF(Input!$B$6="","",IF(Input!$B$6="E","in.",IF(Input!$B$6="M","mm")))</f>
        <v>in.</v>
      </c>
      <c r="K29" s="49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IQ29" s="13">
        <f>IF(Data!D87="","",Data!D87)</f>
        <v>0</v>
      </c>
    </row>
    <row r="30" spans="1:251" ht="15.75">
      <c r="A30" s="526" t="s">
        <v>1052</v>
      </c>
      <c r="B30" s="25"/>
      <c r="C30" s="539" t="str">
        <f>IF(Input!$B$6="","",IF(Input!$B$6="E","lbs.",IF(Input!$B$6="M","N")))</f>
        <v>lbs.</v>
      </c>
      <c r="D30" s="493"/>
      <c r="E30" s="535" t="s">
        <v>1066</v>
      </c>
      <c r="F30" s="523"/>
      <c r="G30" s="532"/>
      <c r="H30" s="530"/>
      <c r="I30" s="540"/>
      <c r="J30" s="532"/>
      <c r="K30" s="49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IQ30" s="13">
        <f>IF(Data!D88="","",Data!D88)</f>
        <v>0</v>
      </c>
    </row>
    <row r="31" spans="1:251" ht="15.75">
      <c r="A31" s="541"/>
      <c r="B31" s="542"/>
      <c r="C31" s="543"/>
      <c r="D31" s="493"/>
      <c r="E31" s="535"/>
      <c r="F31" s="530"/>
      <c r="G31" s="532"/>
      <c r="H31" s="528" t="s">
        <v>1121</v>
      </c>
      <c r="I31" s="167"/>
      <c r="J31" s="527" t="str">
        <f>IF(Input!$B$6="","",IF(Input!$B$6="E","in.",IF(Input!$B$6="M","mm")))</f>
        <v>in.</v>
      </c>
      <c r="K31" s="49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IQ31" s="13">
        <f>IF(Data!D89="","",Data!D89)</f>
        <v>0</v>
      </c>
    </row>
    <row r="32" spans="1:251" ht="12.75">
      <c r="A32" s="493"/>
      <c r="B32" s="493"/>
      <c r="C32" s="493"/>
      <c r="D32" s="493"/>
      <c r="E32" s="535" t="s">
        <v>1069</v>
      </c>
      <c r="F32" s="124"/>
      <c r="G32" s="532"/>
      <c r="H32" s="530"/>
      <c r="I32" s="530"/>
      <c r="J32" s="532"/>
      <c r="K32" s="49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IQ32" s="13">
        <f>IF(Data!D90="","",Data!D90)</f>
        <v>0</v>
      </c>
    </row>
    <row r="33" spans="1:251" ht="12.75">
      <c r="A33" s="520"/>
      <c r="B33" s="523"/>
      <c r="C33" s="522"/>
      <c r="D33" s="493"/>
      <c r="E33" s="535"/>
      <c r="F33" s="528"/>
      <c r="G33" s="532"/>
      <c r="H33" s="530"/>
      <c r="I33" s="544"/>
      <c r="J33" s="527"/>
      <c r="K33" s="49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IQ33" s="13">
        <f>IF(Data!D91="","",Data!D91)</f>
        <v>0</v>
      </c>
    </row>
    <row r="34" spans="1:251" ht="12.75">
      <c r="A34" s="526" t="s">
        <v>1072</v>
      </c>
      <c r="B34" s="168">
        <f>IF($B$18="","",VLOOKUP($B$18,Data!$A$224:$C$238,3,FALSE))</f>
      </c>
      <c r="C34" s="537" t="str">
        <f>IF(Input!$B$6="","",IF(Input!$B$6="E","in.",IF(Input!$B$6="M","mm")))</f>
        <v>in.</v>
      </c>
      <c r="D34" s="493"/>
      <c r="E34" s="535" t="s">
        <v>797</v>
      </c>
      <c r="F34" s="124"/>
      <c r="G34" s="532"/>
      <c r="H34" s="530"/>
      <c r="I34" s="545"/>
      <c r="J34" s="532"/>
      <c r="K34" s="49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IQ34" s="13">
        <f>IF(Data!D92="","",Data!D92)</f>
        <v>0</v>
      </c>
    </row>
    <row r="35" spans="1:251" ht="12.75">
      <c r="A35" s="526" t="s">
        <v>1116</v>
      </c>
      <c r="B35" s="530"/>
      <c r="C35" s="532"/>
      <c r="D35" s="493"/>
      <c r="E35" s="535"/>
      <c r="F35" s="530"/>
      <c r="G35" s="532"/>
      <c r="H35" s="530"/>
      <c r="I35" s="530"/>
      <c r="J35" s="532"/>
      <c r="K35" s="49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IQ35" s="13">
        <f>IF(Data!D93="","",Data!D93)</f>
        <v>0</v>
      </c>
    </row>
    <row r="36" spans="1:251" ht="15.75">
      <c r="A36" s="541"/>
      <c r="B36" s="542"/>
      <c r="C36" s="543"/>
      <c r="D36" s="493"/>
      <c r="E36" s="526" t="s">
        <v>1118</v>
      </c>
      <c r="F36" s="25"/>
      <c r="G36" s="527" t="str">
        <f>IF(Input!$B$6="","",IF(Input!$B$6="E","in.",IF(Input!$B$6="M","mm")))</f>
        <v>in.</v>
      </c>
      <c r="H36" s="530"/>
      <c r="I36" s="530"/>
      <c r="J36" s="532"/>
      <c r="K36" s="49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IQ36" s="13">
        <f>IF(Data!D94="","",Data!D94)</f>
        <v>0</v>
      </c>
    </row>
    <row r="37" spans="1:251" ht="15.75">
      <c r="A37" s="494"/>
      <c r="B37" s="493"/>
      <c r="C37" s="493"/>
      <c r="D37" s="493"/>
      <c r="E37" s="546" t="s">
        <v>1153</v>
      </c>
      <c r="F37" s="366"/>
      <c r="G37" s="527" t="str">
        <f>IF(Input!$B$6="","",IF(Input!$B$6="E","lbs.",IF(Input!$B$6="M","N")))</f>
        <v>lbs.</v>
      </c>
      <c r="H37" s="493"/>
      <c r="I37" s="493"/>
      <c r="J37" s="532"/>
      <c r="K37" s="49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IQ37" s="13">
        <f>IF(Data!D95="","",Data!D95)</f>
        <v>0</v>
      </c>
    </row>
    <row r="38" spans="1:251" ht="12.75">
      <c r="A38" s="520"/>
      <c r="B38" s="523"/>
      <c r="C38" s="522"/>
      <c r="D38" s="493"/>
      <c r="E38" s="541"/>
      <c r="F38" s="542"/>
      <c r="G38" s="543"/>
      <c r="H38" s="530"/>
      <c r="I38" s="530"/>
      <c r="J38" s="532"/>
      <c r="K38" s="49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IQ38" s="13">
        <f>IF(Data!D96="","",Data!D96)</f>
        <v>0</v>
      </c>
    </row>
    <row r="39" spans="1:251" ht="12.75">
      <c r="A39" s="526" t="s">
        <v>64</v>
      </c>
      <c r="B39" s="530"/>
      <c r="C39" s="532"/>
      <c r="D39" s="493"/>
      <c r="E39" s="493"/>
      <c r="F39" s="493"/>
      <c r="G39" s="493"/>
      <c r="H39" s="523"/>
      <c r="I39" s="534"/>
      <c r="J39" s="523"/>
      <c r="K39" s="49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IQ39" s="13">
        <f>IF(Data!D97="","",Data!D97)</f>
        <v>0</v>
      </c>
    </row>
    <row r="40" spans="1:251" ht="12.75">
      <c r="A40" s="526" t="s">
        <v>1054</v>
      </c>
      <c r="B40" s="547" t="s">
        <v>693</v>
      </c>
      <c r="C40" s="548" t="s">
        <v>694</v>
      </c>
      <c r="D40" s="493"/>
      <c r="E40" s="494" t="s">
        <v>803</v>
      </c>
      <c r="F40" s="493"/>
      <c r="G40" s="493"/>
      <c r="H40" s="493"/>
      <c r="I40" s="529"/>
      <c r="J40" s="530"/>
      <c r="K40" s="49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IQ40" s="13">
        <f>IF(Data!D98="","",Data!D98)</f>
        <v>0</v>
      </c>
    </row>
    <row r="41" spans="1:251" ht="12.75">
      <c r="A41" s="535" t="s">
        <v>117</v>
      </c>
      <c r="B41" s="511">
        <v>97</v>
      </c>
      <c r="C41" s="511">
        <v>103</v>
      </c>
      <c r="D41" s="493"/>
      <c r="E41" s="494" t="s">
        <v>789</v>
      </c>
      <c r="F41" s="255"/>
      <c r="G41" s="549"/>
      <c r="H41" s="493"/>
      <c r="I41" s="529"/>
      <c r="J41" s="493"/>
      <c r="K41" s="49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IQ41" s="13">
        <f>IF(Data!D99="","",Data!D99)</f>
        <v>0</v>
      </c>
    </row>
    <row r="42" spans="1:251" ht="12.75">
      <c r="A42" s="535" t="s">
        <v>118</v>
      </c>
      <c r="B42" s="511">
        <v>95</v>
      </c>
      <c r="C42" s="511">
        <v>105</v>
      </c>
      <c r="D42" s="493"/>
      <c r="E42" s="70" t="s">
        <v>790</v>
      </c>
      <c r="F42" s="493"/>
      <c r="G42" s="550"/>
      <c r="H42" s="493"/>
      <c r="I42" s="493"/>
      <c r="J42" s="493"/>
      <c r="K42" s="49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IQ42" s="13">
        <f>IF(Data!D100="","",Data!D100)</f>
        <v>0</v>
      </c>
    </row>
    <row r="43" spans="1:251" ht="12.75">
      <c r="A43" s="535"/>
      <c r="B43" s="530"/>
      <c r="C43" s="532"/>
      <c r="D43" s="493"/>
      <c r="E43" s="70" t="s">
        <v>792</v>
      </c>
      <c r="F43" s="493"/>
      <c r="G43" s="493"/>
      <c r="H43" s="493"/>
      <c r="I43" s="493"/>
      <c r="J43" s="493"/>
      <c r="K43" s="49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IQ43" s="13">
        <f>IF(Data!D101="","",Data!D101)</f>
        <v>0</v>
      </c>
    </row>
    <row r="44" spans="1:251" ht="12.75">
      <c r="A44" s="551" t="s">
        <v>1057</v>
      </c>
      <c r="B44" s="984" t="s">
        <v>818</v>
      </c>
      <c r="C44" s="532"/>
      <c r="D44" s="493"/>
      <c r="E44" s="70" t="s">
        <v>791</v>
      </c>
      <c r="F44" s="493"/>
      <c r="G44" s="493"/>
      <c r="H44" s="493"/>
      <c r="I44" s="493"/>
      <c r="J44" s="493"/>
      <c r="K44" s="49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IQ44" s="13">
        <f>IF(Data!D102="","",Data!D102)</f>
        <v>0</v>
      </c>
    </row>
    <row r="45" spans="1:251" ht="12.75" customHeight="1">
      <c r="A45" s="552" t="s">
        <v>1058</v>
      </c>
      <c r="B45" s="985" t="s">
        <v>819</v>
      </c>
      <c r="C45" s="532"/>
      <c r="D45" s="493"/>
      <c r="E45" s="493"/>
      <c r="F45" s="493"/>
      <c r="G45" s="493"/>
      <c r="H45" s="493"/>
      <c r="I45" s="553"/>
      <c r="J45" s="493"/>
      <c r="K45" s="49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IQ45" s="13">
        <f>IF(Data!D103="","",Data!D103)</f>
        <v>0</v>
      </c>
    </row>
    <row r="46" spans="1:251" ht="12.75">
      <c r="A46" s="124"/>
      <c r="B46" s="989"/>
      <c r="C46" s="532"/>
      <c r="D46" s="493"/>
      <c r="E46" s="494" t="s">
        <v>804</v>
      </c>
      <c r="F46" s="493"/>
      <c r="G46" s="493"/>
      <c r="H46" s="549"/>
      <c r="I46" s="553"/>
      <c r="J46" s="493"/>
      <c r="K46" s="49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IQ46" s="13">
        <f>IF(Data!D104="","",Data!D104)</f>
        <v>0</v>
      </c>
    </row>
    <row r="47" spans="1:251" ht="12.75">
      <c r="A47" s="535"/>
      <c r="B47" s="493"/>
      <c r="C47" s="532"/>
      <c r="D47" s="493"/>
      <c r="E47" s="494" t="s">
        <v>1011</v>
      </c>
      <c r="F47" s="493"/>
      <c r="G47" s="493"/>
      <c r="H47" s="553"/>
      <c r="I47" s="553"/>
      <c r="J47" s="493"/>
      <c r="K47" s="53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IQ47" s="13">
        <f>IF(Data!D105="","",Data!D105)</f>
        <v>0</v>
      </c>
    </row>
    <row r="48" spans="1:251" ht="15.75">
      <c r="A48" s="546" t="s">
        <v>1009</v>
      </c>
      <c r="B48" s="25"/>
      <c r="C48" s="532"/>
      <c r="D48" s="493"/>
      <c r="E48" s="493"/>
      <c r="F48" s="493"/>
      <c r="G48" s="493"/>
      <c r="H48" s="553"/>
      <c r="I48" s="505"/>
      <c r="J48" s="506"/>
      <c r="K48" s="55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IQ48" s="13">
        <f>IF(Data!D106="","",Data!D106)</f>
        <v>0</v>
      </c>
    </row>
    <row r="49" spans="1:251" ht="12.75">
      <c r="A49" s="535"/>
      <c r="B49" s="493"/>
      <c r="C49" s="532"/>
      <c r="D49" s="493"/>
      <c r="E49" s="520"/>
      <c r="F49" s="523"/>
      <c r="G49" s="522"/>
      <c r="H49" s="493"/>
      <c r="I49" s="505"/>
      <c r="J49" s="506"/>
      <c r="K49" s="55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IQ49" s="13">
        <f>IF(Data!D107="","",Data!D107)</f>
        <v>0</v>
      </c>
    </row>
    <row r="50" spans="1:251" ht="15.75">
      <c r="A50" s="546" t="s">
        <v>1010</v>
      </c>
      <c r="B50" s="25"/>
      <c r="C50" s="532"/>
      <c r="D50" s="493"/>
      <c r="E50" s="526" t="s">
        <v>1205</v>
      </c>
      <c r="F50" s="530"/>
      <c r="G50" s="555"/>
      <c r="H50" s="493"/>
      <c r="I50" s="530"/>
      <c r="J50" s="530"/>
      <c r="K50" s="55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IQ50" s="13">
        <f>IF(Data!D108="","",Data!D108)</f>
        <v>0</v>
      </c>
    </row>
    <row r="51" spans="1:251" ht="12.75">
      <c r="A51" s="546"/>
      <c r="B51" s="493"/>
      <c r="C51" s="532"/>
      <c r="D51" s="493"/>
      <c r="E51" s="546" t="s">
        <v>1206</v>
      </c>
      <c r="F51" s="124"/>
      <c r="G51" s="532"/>
      <c r="H51" s="493"/>
      <c r="I51" s="554"/>
      <c r="J51" s="554"/>
      <c r="K51" s="55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IQ51" s="13">
        <f>IF(Data!D109="","",Data!D109)</f>
        <v>0</v>
      </c>
    </row>
    <row r="52" spans="1:251" ht="12.75">
      <c r="A52" s="535" t="str">
        <f>+IF($A$46="Yes","Note: If the ratio of draped over straight length exceeds"," ")</f>
        <v> </v>
      </c>
      <c r="B52" s="530"/>
      <c r="C52" s="532"/>
      <c r="D52" s="493"/>
      <c r="E52" s="546" t="s">
        <v>1207</v>
      </c>
      <c r="F52" s="530"/>
      <c r="G52" s="532"/>
      <c r="H52" s="556"/>
      <c r="I52" s="554"/>
      <c r="J52" s="554"/>
      <c r="K52" s="55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IQ52" s="13">
        <f>IF(Data!D110="","",Data!D110)</f>
        <v>0</v>
      </c>
    </row>
    <row r="53" spans="1:32" ht="12.75">
      <c r="A53" s="535" t="str">
        <f>+IF($A$46="Yes","1.002, separate calculations are required.  In separate "," ")</f>
        <v> </v>
      </c>
      <c r="B53" s="530"/>
      <c r="C53" s="532"/>
      <c r="D53" s="493"/>
      <c r="E53" s="541"/>
      <c r="F53" s="542"/>
      <c r="G53" s="543"/>
      <c r="H53" s="554"/>
      <c r="I53" s="554"/>
      <c r="J53" s="554"/>
      <c r="K53" s="53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2.75">
      <c r="A54" s="535" t="str">
        <f>+IF($A$46="Yes","calculations, set 'Draped' to 'Yes', and 'Ratio' to 1.0,"," ")</f>
        <v> </v>
      </c>
      <c r="B54" s="530"/>
      <c r="C54" s="532"/>
      <c r="D54" s="493"/>
      <c r="E54" s="493"/>
      <c r="F54" s="493"/>
      <c r="G54" s="493"/>
      <c r="H54" s="554"/>
      <c r="I54" s="530"/>
      <c r="J54" s="530"/>
      <c r="K54" s="53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.75">
      <c r="A55" s="535" t="str">
        <f>+IF($A$46="Yes","do not change 'Tot. No. of Str.', set L to actual draped"," ")</f>
        <v> </v>
      </c>
      <c r="B55" s="530"/>
      <c r="C55" s="532"/>
      <c r="D55" s="493"/>
      <c r="E55" s="493"/>
      <c r="F55" s="493"/>
      <c r="G55" s="493"/>
      <c r="H55" s="554"/>
      <c r="I55" s="530"/>
      <c r="J55" s="530"/>
      <c r="K55" s="53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.75">
      <c r="A56" s="541" t="str">
        <f>+IF($A$46="Yes","length, and use only 'Draped' elongations in tensioning."," ")</f>
        <v> </v>
      </c>
      <c r="B56" s="542"/>
      <c r="C56" s="543"/>
      <c r="D56" s="493"/>
      <c r="E56" s="493"/>
      <c r="F56" s="493"/>
      <c r="G56" s="493"/>
      <c r="H56" s="530"/>
      <c r="I56" s="530"/>
      <c r="J56" s="530"/>
      <c r="K56" s="53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2.75">
      <c r="A57" s="493"/>
      <c r="B57" s="493"/>
      <c r="C57" s="493"/>
      <c r="D57" s="493"/>
      <c r="E57" s="493"/>
      <c r="F57" s="493"/>
      <c r="G57" s="493"/>
      <c r="H57" s="530"/>
      <c r="I57" s="530"/>
      <c r="J57" s="530"/>
      <c r="K57" s="53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.75">
      <c r="A58" s="520"/>
      <c r="B58" s="523"/>
      <c r="C58" s="523"/>
      <c r="D58" s="523"/>
      <c r="E58" s="523"/>
      <c r="F58" s="523"/>
      <c r="G58" s="522"/>
      <c r="H58" s="530"/>
      <c r="I58" s="530"/>
      <c r="J58" s="530"/>
      <c r="K58" s="53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2.75">
      <c r="A59" s="526" t="s">
        <v>1071</v>
      </c>
      <c r="B59" s="150"/>
      <c r="C59" s="557"/>
      <c r="D59" s="530"/>
      <c r="E59" s="530"/>
      <c r="F59" s="530"/>
      <c r="G59" s="532"/>
      <c r="H59" s="530"/>
      <c r="I59" s="530"/>
      <c r="J59" s="530"/>
      <c r="K59" s="53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2.75">
      <c r="A60" s="535"/>
      <c r="B60" s="530"/>
      <c r="C60" s="530"/>
      <c r="D60" s="530"/>
      <c r="E60" s="530"/>
      <c r="F60" s="530"/>
      <c r="G60" s="532"/>
      <c r="H60" s="530"/>
      <c r="I60" s="530"/>
      <c r="J60" s="530"/>
      <c r="K60" s="53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.75">
      <c r="A61" s="558"/>
      <c r="B61" s="530"/>
      <c r="C61" s="530"/>
      <c r="D61" s="559" t="s">
        <v>1080</v>
      </c>
      <c r="E61" s="559" t="s">
        <v>1081</v>
      </c>
      <c r="F61" s="559" t="s">
        <v>1082</v>
      </c>
      <c r="G61" s="532"/>
      <c r="H61" s="530"/>
      <c r="I61" s="530"/>
      <c r="J61" s="530"/>
      <c r="K61" s="53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2.75">
      <c r="A62" s="560" t="s">
        <v>113</v>
      </c>
      <c r="B62" s="560" t="s">
        <v>115</v>
      </c>
      <c r="C62" s="560" t="str">
        <f>IF(Input!$B$6="","",IF(Input!$B$6="E","Dia. (in.)",IF(Input!$B$6="M","Dia. (mm)")))</f>
        <v>Dia. (in.)</v>
      </c>
      <c r="D62" s="560" t="str">
        <f>IF(Input!$B$6="","",IF(Input!$B$6="E","Area (sq. in.)",IF(Input!$B$6="M","Area (sq. mm)")))</f>
        <v>Area (sq. in.)</v>
      </c>
      <c r="E62" s="560" t="str">
        <f>IF(Input!$B$6="","",IF(Input!$B$6="E","Mod. El. (psi)",IF(Input!$B$6="M","Mod. El. (kPA)")))</f>
        <v>Mod. El. (psi)</v>
      </c>
      <c r="F62" s="560" t="str">
        <f>IF(Input!$B$6="","",IF(Input!$B$6="E","Ten. Cap. (psi)",IF(Input!$B$6="M","Ten. Cap. (kPA)")))</f>
        <v>Ten. Cap. (psi)</v>
      </c>
      <c r="G62" s="532"/>
      <c r="H62" s="530"/>
      <c r="I62" s="530"/>
      <c r="J62" s="530"/>
      <c r="K62" s="53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2.75">
      <c r="A63" s="560" t="s">
        <v>90</v>
      </c>
      <c r="B63" s="25"/>
      <c r="C63" s="167"/>
      <c r="D63" s="167"/>
      <c r="E63" s="366"/>
      <c r="F63" s="366"/>
      <c r="G63" s="532"/>
      <c r="H63" s="530"/>
      <c r="I63" s="530"/>
      <c r="J63" s="530"/>
      <c r="K63" s="53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2.75" customHeight="1">
      <c r="A64" s="560" t="s">
        <v>91</v>
      </c>
      <c r="B64" s="25"/>
      <c r="C64" s="167"/>
      <c r="D64" s="167"/>
      <c r="E64" s="366"/>
      <c r="F64" s="366"/>
      <c r="G64" s="532"/>
      <c r="H64" s="561"/>
      <c r="I64" s="561"/>
      <c r="J64" s="561"/>
      <c r="K64" s="56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2.75">
      <c r="A65" s="560" t="s">
        <v>92</v>
      </c>
      <c r="B65" s="25"/>
      <c r="C65" s="167"/>
      <c r="D65" s="167"/>
      <c r="E65" s="366"/>
      <c r="F65" s="366"/>
      <c r="G65" s="532"/>
      <c r="H65" s="530"/>
      <c r="I65" s="530"/>
      <c r="J65" s="530"/>
      <c r="K65" s="530"/>
      <c r="L65" s="2"/>
      <c r="M65" s="2"/>
      <c r="N65" s="2"/>
      <c r="O65" s="156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.75">
      <c r="A66" s="560" t="s">
        <v>93</v>
      </c>
      <c r="B66" s="25"/>
      <c r="C66" s="167"/>
      <c r="D66" s="167"/>
      <c r="E66" s="366"/>
      <c r="F66" s="366"/>
      <c r="G66" s="562"/>
      <c r="H66" s="563"/>
      <c r="I66" s="530"/>
      <c r="J66" s="530"/>
      <c r="K66" s="530"/>
      <c r="L66" s="2"/>
      <c r="M66" s="2"/>
      <c r="N66" s="2"/>
      <c r="O66" s="156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2.75">
      <c r="A67" s="564"/>
      <c r="B67" s="542"/>
      <c r="C67" s="542"/>
      <c r="D67" s="542"/>
      <c r="E67" s="542"/>
      <c r="F67" s="542"/>
      <c r="G67" s="543"/>
      <c r="H67" s="255"/>
      <c r="I67" s="530"/>
      <c r="J67" s="530"/>
      <c r="K67" s="530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2.75">
      <c r="A68" s="530"/>
      <c r="B68" s="530"/>
      <c r="C68" s="565"/>
      <c r="D68" s="566"/>
      <c r="E68" s="567"/>
      <c r="F68" s="530"/>
      <c r="G68" s="530"/>
      <c r="H68" s="530"/>
      <c r="I68" s="530"/>
      <c r="J68" s="530"/>
      <c r="K68" s="530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2.75">
      <c r="A69" s="513" t="s">
        <v>99</v>
      </c>
      <c r="B69" s="575"/>
      <c r="C69" s="576"/>
      <c r="D69" s="576"/>
      <c r="E69" s="576"/>
      <c r="F69" s="576"/>
      <c r="G69" s="576"/>
      <c r="H69" s="576"/>
      <c r="I69" s="576"/>
      <c r="J69" s="576"/>
      <c r="K69" s="576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2.75">
      <c r="A70" s="503"/>
      <c r="B70" s="577"/>
      <c r="C70" s="577"/>
      <c r="D70" s="577"/>
      <c r="E70" s="577"/>
      <c r="F70" s="577"/>
      <c r="G70" s="577"/>
      <c r="H70" s="577"/>
      <c r="I70" s="577"/>
      <c r="J70" s="577"/>
      <c r="K70" s="57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>
      <c r="A71" s="576"/>
      <c r="B71" s="576"/>
      <c r="C71" s="576"/>
      <c r="D71" s="576"/>
      <c r="E71" s="576"/>
      <c r="F71" s="576"/>
      <c r="G71" s="576"/>
      <c r="H71" s="576"/>
      <c r="I71" s="576"/>
      <c r="J71" s="576"/>
      <c r="K71" s="576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.75">
      <c r="A72" s="503"/>
      <c r="B72" s="503"/>
      <c r="C72" s="503"/>
      <c r="D72" s="503"/>
      <c r="E72" s="503"/>
      <c r="F72" s="503"/>
      <c r="G72" s="503"/>
      <c r="H72" s="503"/>
      <c r="I72" s="503"/>
      <c r="J72" s="503"/>
      <c r="K72" s="50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.75">
      <c r="A73" s="503"/>
      <c r="B73" s="503"/>
      <c r="C73" s="493"/>
      <c r="D73" s="503"/>
      <c r="E73" s="503"/>
      <c r="F73" s="568" t="s">
        <v>1016</v>
      </c>
      <c r="G73" s="569">
        <f>+IF(Input!E14="","",Input!E14)</f>
      </c>
      <c r="H73" s="570"/>
      <c r="I73" s="571"/>
      <c r="J73" s="503"/>
      <c r="K73" s="57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.75">
      <c r="A74" s="2"/>
      <c r="B74" s="5"/>
      <c r="C74" s="5"/>
      <c r="D74" s="5"/>
      <c r="E74" s="5"/>
      <c r="F74" s="5"/>
      <c r="G74" s="149"/>
      <c r="H74" s="14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.75">
      <c r="A75" s="2"/>
      <c r="B75" s="2"/>
      <c r="C75" s="5"/>
      <c r="D75" s="5"/>
      <c r="E75" s="5"/>
      <c r="F75" s="5"/>
      <c r="G75" s="5"/>
      <c r="H75" s="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.75">
      <c r="A76" s="2"/>
      <c r="B76" s="5"/>
      <c r="C76" s="148"/>
      <c r="D76" s="148"/>
      <c r="E76" s="148"/>
      <c r="F76" s="148"/>
      <c r="G76" s="14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>
      <c r="A77" s="2"/>
      <c r="B77" s="5"/>
      <c r="C77" s="148"/>
      <c r="D77" s="148"/>
      <c r="E77" s="148"/>
      <c r="F77" s="148"/>
      <c r="G77" s="14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.75">
      <c r="A78" s="2"/>
      <c r="B78" s="155"/>
      <c r="C78" s="148"/>
      <c r="D78" s="148"/>
      <c r="E78" s="148"/>
      <c r="F78" s="148"/>
      <c r="G78" s="14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.75">
      <c r="A79" s="2"/>
      <c r="B79" s="5"/>
      <c r="C79" s="148"/>
      <c r="D79" s="148"/>
      <c r="E79" s="148"/>
      <c r="F79" s="148"/>
      <c r="G79" s="14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.75">
      <c r="A80" s="15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.75">
      <c r="A81" s="2"/>
      <c r="B81" s="7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.7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.75">
      <c r="A84" s="2"/>
      <c r="B84" s="5"/>
      <c r="C84" s="2"/>
      <c r="D84" s="2"/>
      <c r="E84" s="2"/>
      <c r="F84" s="2"/>
      <c r="G84" s="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.75">
      <c r="A85" s="2"/>
      <c r="B85" s="149"/>
      <c r="C85" s="5"/>
      <c r="D85" s="149"/>
      <c r="E85" s="5"/>
      <c r="F85" s="149"/>
      <c r="G85" s="149"/>
      <c r="H85" s="5"/>
      <c r="I85" s="149"/>
      <c r="J85" s="5"/>
      <c r="K85" s="149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.75">
      <c r="A87" s="5"/>
      <c r="B87" s="5"/>
      <c r="C87" s="5"/>
      <c r="D87" s="5"/>
      <c r="E87" s="2"/>
      <c r="F87" s="2"/>
      <c r="G87" s="5"/>
      <c r="H87" s="5"/>
      <c r="I87" s="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2.75">
      <c r="A88" s="155"/>
      <c r="B88" s="5"/>
      <c r="C88" s="5"/>
      <c r="D88" s="5"/>
      <c r="E88" s="57"/>
      <c r="F88" s="57"/>
      <c r="G88" s="5"/>
      <c r="H88" s="5"/>
      <c r="I88" s="5"/>
      <c r="J88" s="57"/>
      <c r="K88" s="57"/>
      <c r="L88" s="2"/>
      <c r="M88" s="2"/>
      <c r="N88" s="2"/>
      <c r="O88" s="5"/>
      <c r="P88" s="5"/>
      <c r="Q88" s="5"/>
      <c r="R88" s="5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2.75">
      <c r="A89" s="5"/>
      <c r="B89" s="5"/>
      <c r="C89" s="5"/>
      <c r="D89" s="5"/>
      <c r="E89" s="2"/>
      <c r="F89" s="2"/>
      <c r="G89" s="5"/>
      <c r="H89" s="5"/>
      <c r="I89" s="5"/>
      <c r="J89" s="2"/>
      <c r="K89" s="2"/>
      <c r="L89" s="2"/>
      <c r="M89" s="2"/>
      <c r="N89" s="2"/>
      <c r="O89" s="5"/>
      <c r="P89" s="5"/>
      <c r="Q89" s="5"/>
      <c r="R89" s="5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2.75">
      <c r="A90" s="2"/>
      <c r="B90" s="5"/>
      <c r="C90" s="5"/>
      <c r="D90" s="5"/>
      <c r="E90" s="2"/>
      <c r="F90" s="2"/>
      <c r="G90" s="5"/>
      <c r="H90" s="5"/>
      <c r="I90" s="5"/>
      <c r="J90" s="2"/>
      <c r="K90" s="2"/>
      <c r="L90" s="2"/>
      <c r="M90" s="2"/>
      <c r="N90" s="2"/>
      <c r="O90" s="5"/>
      <c r="P90" s="5"/>
      <c r="Q90" s="5"/>
      <c r="R90" s="5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2.75">
      <c r="A91" s="15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57"/>
      <c r="P91" s="157"/>
      <c r="Q91" s="157"/>
      <c r="R91" s="157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5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5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.75">
      <c r="A94" s="16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5.75">
      <c r="A95" s="2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54"/>
      <c r="N96" s="4"/>
      <c r="O96" s="158"/>
      <c r="P96" s="158"/>
      <c r="Q96" s="158"/>
      <c r="R96" s="158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.75">
      <c r="A97" s="2"/>
      <c r="B97" s="5"/>
      <c r="C97" s="5"/>
      <c r="D97" s="2"/>
      <c r="E97" s="2"/>
      <c r="F97" s="2"/>
      <c r="G97" s="4"/>
      <c r="H97" s="5"/>
      <c r="I97" s="2"/>
      <c r="J97" s="2"/>
      <c r="K97" s="2"/>
      <c r="L97" s="2"/>
      <c r="M97" s="154"/>
      <c r="N97" s="4"/>
      <c r="O97" s="5"/>
      <c r="P97" s="5"/>
      <c r="Q97" s="5"/>
      <c r="R97" s="5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>
      <c r="A98" s="2"/>
      <c r="B98" s="2"/>
      <c r="C98" s="149"/>
      <c r="D98" s="5"/>
      <c r="E98" s="149"/>
      <c r="F98" s="5"/>
      <c r="G98" s="149"/>
      <c r="H98" s="149"/>
      <c r="I98" s="5"/>
      <c r="J98" s="2"/>
      <c r="K98" s="2"/>
      <c r="L98" s="2"/>
      <c r="M98" s="2"/>
      <c r="N98" s="4"/>
      <c r="O98" s="157"/>
      <c r="P98" s="157"/>
      <c r="Q98" s="157"/>
      <c r="R98" s="157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.75">
      <c r="A99" s="2"/>
      <c r="B99" s="2"/>
      <c r="C99" s="5"/>
      <c r="D99" s="5"/>
      <c r="E99" s="5"/>
      <c r="F99" s="5"/>
      <c r="G99" s="5"/>
      <c r="H99" s="5"/>
      <c r="I99" s="5"/>
      <c r="J99" s="5"/>
      <c r="K99" s="149"/>
      <c r="L99" s="2"/>
      <c r="M99" s="2"/>
      <c r="N99" s="4"/>
      <c r="O99" s="5"/>
      <c r="P99" s="5"/>
      <c r="Q99" s="5"/>
      <c r="R99" s="5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>
      <c r="A100" s="2"/>
      <c r="B100" s="5"/>
      <c r="C100" s="5"/>
      <c r="D100" s="5"/>
      <c r="E100" s="5"/>
      <c r="F100" s="2"/>
      <c r="G100" s="2"/>
      <c r="H100" s="5"/>
      <c r="I100" s="5"/>
      <c r="J100" s="5"/>
      <c r="K100" s="5"/>
      <c r="L100" s="2"/>
      <c r="M100" s="2"/>
      <c r="N100" s="2"/>
      <c r="O100" s="5"/>
      <c r="P100" s="5"/>
      <c r="Q100" s="5"/>
      <c r="R100" s="5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>
      <c r="A101" s="2"/>
      <c r="B101" s="5"/>
      <c r="C101" s="5"/>
      <c r="D101" s="5"/>
      <c r="E101" s="5"/>
      <c r="F101" s="57"/>
      <c r="G101" s="57"/>
      <c r="H101" s="5"/>
      <c r="I101" s="5"/>
      <c r="J101" s="2"/>
      <c r="K101" s="2"/>
      <c r="L101" s="2"/>
      <c r="M101" s="2"/>
      <c r="N101" s="4"/>
      <c r="O101" s="158"/>
      <c r="P101" s="158"/>
      <c r="Q101" s="158"/>
      <c r="R101" s="158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>
      <c r="A102" s="2"/>
      <c r="B102" s="155"/>
      <c r="C102" s="5"/>
      <c r="D102" s="5"/>
      <c r="E102" s="5"/>
      <c r="F102" s="2"/>
      <c r="G102" s="2"/>
      <c r="H102" s="5"/>
      <c r="I102" s="5"/>
      <c r="J102" s="57"/>
      <c r="K102" s="57"/>
      <c r="L102" s="2"/>
      <c r="M102" s="2"/>
      <c r="N102" s="4"/>
      <c r="O102" s="149"/>
      <c r="P102" s="149"/>
      <c r="Q102" s="149"/>
      <c r="R102" s="149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.75">
      <c r="A103" s="2"/>
      <c r="B103" s="5"/>
      <c r="C103" s="5"/>
      <c r="D103" s="5"/>
      <c r="E103" s="5"/>
      <c r="F103" s="2"/>
      <c r="G103" s="2"/>
      <c r="H103" s="5"/>
      <c r="I103" s="5"/>
      <c r="J103" s="2"/>
      <c r="K103" s="2"/>
      <c r="L103" s="2"/>
      <c r="M103" s="2"/>
      <c r="N103" s="4"/>
      <c r="O103" s="157"/>
      <c r="P103" s="157"/>
      <c r="Q103" s="157"/>
      <c r="R103" s="157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4"/>
      <c r="O104" s="5"/>
      <c r="P104" s="5"/>
      <c r="Q104" s="5"/>
      <c r="R104" s="5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>
      <c r="A105" s="2"/>
      <c r="B105" s="15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5"/>
      <c r="P105" s="5"/>
      <c r="Q105" s="5"/>
      <c r="R105" s="5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>
      <c r="A110" s="15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>
      <c r="A111" s="2"/>
      <c r="B111" s="159"/>
      <c r="C111" s="160"/>
      <c r="D111" s="160"/>
      <c r="E111" s="160"/>
      <c r="F111" s="160"/>
      <c r="G111" s="160"/>
      <c r="H111" s="160"/>
      <c r="I111" s="160"/>
      <c r="J111" s="160"/>
      <c r="K111" s="160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>
      <c r="A112" s="159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>
      <c r="A113" s="2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>
      <c r="A114" s="59"/>
      <c r="B114" s="2"/>
      <c r="C114" s="2"/>
      <c r="D114" s="2"/>
      <c r="E114" s="2"/>
      <c r="F114" s="2"/>
      <c r="G114" s="2"/>
      <c r="H114" s="15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>
      <c r="A115" s="59"/>
      <c r="B115" s="59"/>
      <c r="C115" s="59"/>
      <c r="D115" s="161"/>
      <c r="E115" s="59"/>
      <c r="F115" s="59"/>
      <c r="G115" s="59"/>
      <c r="H115" s="5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.75">
      <c r="A116" s="161"/>
      <c r="B116" s="59"/>
      <c r="C116" s="59"/>
      <c r="D116" s="59"/>
      <c r="E116" s="59"/>
      <c r="F116" s="59"/>
      <c r="G116" s="59"/>
      <c r="H116" s="5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>
      <c r="A117" s="162"/>
      <c r="B117" s="161"/>
      <c r="C117" s="161"/>
      <c r="D117" s="161"/>
      <c r="E117" s="161"/>
      <c r="F117" s="161"/>
      <c r="G117" s="161"/>
      <c r="H117" s="5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2:32" ht="12.75">
      <c r="B118" s="162"/>
      <c r="C118" s="162"/>
      <c r="D118" s="162"/>
      <c r="E118" s="162"/>
      <c r="F118" s="163"/>
      <c r="G118" s="163"/>
      <c r="H118" s="16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</sheetData>
  <sheetProtection sheet="1" objects="1" scenarios="1"/>
  <mergeCells count="6">
    <mergeCell ref="A8:K8"/>
    <mergeCell ref="D9:D12"/>
    <mergeCell ref="A1:C1"/>
    <mergeCell ref="A5:K5"/>
    <mergeCell ref="A6:K6"/>
    <mergeCell ref="A7:K7"/>
  </mergeCells>
  <dataValidations count="3">
    <dataValidation type="list" allowBlank="1" showInputMessage="1" showErrorMessage="1" sqref="A46 F29 F32 F34">
      <formula1>$O$15:$O$16</formula1>
    </dataValidation>
    <dataValidation type="list" allowBlank="1" showInputMessage="1" showErrorMessage="1" sqref="F51">
      <formula1>$O$18:$O$19</formula1>
    </dataValidation>
    <dataValidation type="list" allowBlank="1" showInputMessage="1" showErrorMessage="1" sqref="B59">
      <formula1>Data!$B$71:$B$146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Q11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3.57421875" style="0" customWidth="1"/>
    <col min="2" max="2" width="15.421875" style="0" customWidth="1"/>
    <col min="3" max="3" width="15.8515625" style="0" customWidth="1"/>
    <col min="4" max="4" width="14.28125" style="0" customWidth="1"/>
    <col min="5" max="5" width="13.00390625" style="0" customWidth="1"/>
    <col min="6" max="6" width="13.28125" style="0" customWidth="1"/>
    <col min="7" max="8" width="13.140625" style="0" customWidth="1"/>
    <col min="9" max="9" width="10.7109375" style="0" customWidth="1"/>
    <col min="10" max="10" width="7.8515625" style="0" customWidth="1"/>
    <col min="11" max="11" width="7.140625" style="0" customWidth="1"/>
  </cols>
  <sheetData>
    <row r="1" spans="1:251" ht="12.75">
      <c r="A1" s="1023" t="s">
        <v>861</v>
      </c>
      <c r="B1" s="1024"/>
      <c r="C1" s="1024"/>
      <c r="D1" s="493"/>
      <c r="E1" s="493"/>
      <c r="F1" s="493"/>
      <c r="G1" s="493"/>
      <c r="H1" s="493"/>
      <c r="I1" s="493"/>
      <c r="J1" s="493"/>
      <c r="K1" s="493"/>
      <c r="IQ1" t="s">
        <v>1050</v>
      </c>
    </row>
    <row r="2" spans="1:251" ht="12.75">
      <c r="A2" s="578"/>
      <c r="B2" s="493"/>
      <c r="C2" s="493"/>
      <c r="D2" s="493"/>
      <c r="E2" s="493"/>
      <c r="F2" s="493"/>
      <c r="G2" s="493"/>
      <c r="H2" s="493"/>
      <c r="I2" s="493"/>
      <c r="J2" s="493"/>
      <c r="K2" s="493"/>
      <c r="IQ2" s="13">
        <f>IF(Data!D71="","",Data!D71)</f>
        <v>0</v>
      </c>
    </row>
    <row r="3" spans="1:251" ht="15.75">
      <c r="A3" s="519" t="s">
        <v>1063</v>
      </c>
      <c r="B3" s="493"/>
      <c r="C3" s="493"/>
      <c r="D3" s="493"/>
      <c r="E3" s="493"/>
      <c r="F3" s="493"/>
      <c r="G3" s="493"/>
      <c r="H3" s="493"/>
      <c r="I3" s="579"/>
      <c r="J3" s="493"/>
      <c r="K3" s="493"/>
      <c r="O3" s="4"/>
      <c r="IQ3" s="13">
        <f>IF(Data!D72="","",Data!D72)</f>
        <v>0</v>
      </c>
    </row>
    <row r="4" spans="1:251" ht="12.75">
      <c r="A4" s="493"/>
      <c r="B4" s="493"/>
      <c r="C4" s="493"/>
      <c r="D4" s="493"/>
      <c r="E4" s="493"/>
      <c r="F4" s="493"/>
      <c r="G4" s="580"/>
      <c r="H4" s="70"/>
      <c r="I4" s="544"/>
      <c r="J4" s="567"/>
      <c r="K4" s="493"/>
      <c r="O4" s="4"/>
      <c r="IQ4" s="13"/>
    </row>
    <row r="5" spans="1:251" ht="12.75">
      <c r="A5" s="493" t="s">
        <v>1016</v>
      </c>
      <c r="B5" s="524">
        <f>IF(Input!E14="","",Input!E14)</f>
      </c>
      <c r="C5" s="525"/>
      <c r="D5" s="493"/>
      <c r="E5" s="493"/>
      <c r="F5" s="493"/>
      <c r="G5" s="493"/>
      <c r="H5" s="70"/>
      <c r="I5" s="544"/>
      <c r="J5" s="493"/>
      <c r="K5" s="493"/>
      <c r="O5" s="4"/>
      <c r="IQ5" s="13"/>
    </row>
    <row r="6" spans="1:251" ht="12.75">
      <c r="A6" s="581"/>
      <c r="B6" s="534"/>
      <c r="C6" s="523"/>
      <c r="D6" s="493"/>
      <c r="E6" s="493"/>
      <c r="F6" s="493"/>
      <c r="G6" s="493"/>
      <c r="H6" s="545"/>
      <c r="I6" s="544"/>
      <c r="J6" s="493"/>
      <c r="K6" s="493"/>
      <c r="O6" s="4"/>
      <c r="IQ6" s="13"/>
    </row>
    <row r="7" spans="1:251" ht="12.75">
      <c r="A7" s="582" t="s">
        <v>1059</v>
      </c>
      <c r="B7" s="522"/>
      <c r="C7" s="493"/>
      <c r="D7" s="493"/>
      <c r="E7" s="494" t="s">
        <v>1067</v>
      </c>
      <c r="F7" s="579"/>
      <c r="G7" s="545"/>
      <c r="H7" s="70"/>
      <c r="I7" s="544"/>
      <c r="J7" s="567"/>
      <c r="K7" s="493"/>
      <c r="O7" s="4"/>
      <c r="IQ7" s="13">
        <f>IF(Data!D73="","",Data!D73)</f>
        <v>0</v>
      </c>
    </row>
    <row r="8" spans="1:251" ht="12.75">
      <c r="A8" s="526" t="s">
        <v>1060</v>
      </c>
      <c r="B8" s="511">
        <f>+'Setup Bm Input'!F32</f>
        <v>0</v>
      </c>
      <c r="C8" s="493"/>
      <c r="D8" s="493"/>
      <c r="E8" s="70" t="s">
        <v>1062</v>
      </c>
      <c r="F8" s="531"/>
      <c r="G8" s="545"/>
      <c r="H8" s="545"/>
      <c r="I8" s="545"/>
      <c r="J8" s="493"/>
      <c r="K8" s="493"/>
      <c r="IQ8" s="13">
        <f>IF(Data!D74="","",Data!D74)</f>
        <v>0</v>
      </c>
    </row>
    <row r="9" spans="1:251" ht="15.75">
      <c r="A9" s="583" t="s">
        <v>1061</v>
      </c>
      <c r="B9" s="543"/>
      <c r="C9" s="493"/>
      <c r="D9" s="493"/>
      <c r="E9" s="70" t="s">
        <v>1076</v>
      </c>
      <c r="F9" s="606"/>
      <c r="G9" s="567" t="str">
        <f>IF(Input!$B$6="","",IF(Input!$B$6="E","in.",IF(Input!$B$6="M","mm")))</f>
        <v>in.</v>
      </c>
      <c r="H9" s="545"/>
      <c r="I9" s="584"/>
      <c r="J9" s="567"/>
      <c r="K9" s="493"/>
      <c r="IQ9" s="13">
        <f>IF(Data!D75="","",Data!D75)</f>
        <v>0</v>
      </c>
    </row>
    <row r="10" spans="1:251" ht="12.75">
      <c r="A10" s="493"/>
      <c r="B10" s="493"/>
      <c r="C10" s="493"/>
      <c r="D10" s="493"/>
      <c r="E10" s="493"/>
      <c r="F10" s="545"/>
      <c r="G10" s="545"/>
      <c r="H10" s="493"/>
      <c r="I10" s="493"/>
      <c r="J10" s="493"/>
      <c r="K10" s="493"/>
      <c r="IQ10" s="13">
        <f>IF(Data!D76="","",Data!D76)</f>
        <v>0</v>
      </c>
    </row>
    <row r="11" spans="1:251" ht="12.75">
      <c r="A11" s="545"/>
      <c r="B11" s="493"/>
      <c r="C11" s="493"/>
      <c r="D11" s="493"/>
      <c r="E11" s="493"/>
      <c r="F11" s="585"/>
      <c r="G11" s="586"/>
      <c r="H11" s="493"/>
      <c r="I11" s="544"/>
      <c r="J11" s="567"/>
      <c r="K11" s="493"/>
      <c r="IQ11" s="13">
        <f>IF(Data!D77="","",Data!D77)</f>
        <v>0</v>
      </c>
    </row>
    <row r="12" spans="1:251" ht="12.75">
      <c r="A12" s="587" t="s">
        <v>100</v>
      </c>
      <c r="B12" s="503"/>
      <c r="C12" s="503"/>
      <c r="D12" s="503"/>
      <c r="E12" s="503"/>
      <c r="F12" s="503"/>
      <c r="G12" s="503"/>
      <c r="H12" s="503"/>
      <c r="I12" s="503"/>
      <c r="J12" s="503"/>
      <c r="K12" s="503"/>
      <c r="IQ12" s="13"/>
    </row>
    <row r="13" spans="1:251" ht="4.5" customHeight="1">
      <c r="A13" s="495"/>
      <c r="B13" s="495"/>
      <c r="C13" s="495"/>
      <c r="D13" s="495"/>
      <c r="E13" s="495"/>
      <c r="F13" s="495"/>
      <c r="G13" s="495"/>
      <c r="H13" s="495"/>
      <c r="I13" s="495"/>
      <c r="J13" s="495"/>
      <c r="K13" s="495"/>
      <c r="O13" s="40" t="s">
        <v>1055</v>
      </c>
      <c r="IQ13" s="13"/>
    </row>
    <row r="14" spans="1:251" ht="12.75">
      <c r="A14" s="494" t="s">
        <v>1075</v>
      </c>
      <c r="B14" s="588"/>
      <c r="C14" s="588"/>
      <c r="D14" s="588"/>
      <c r="E14" s="588"/>
      <c r="F14" s="588"/>
      <c r="G14" s="588"/>
      <c r="H14" s="493"/>
      <c r="I14" s="493"/>
      <c r="J14" s="7" t="s">
        <v>1310</v>
      </c>
      <c r="K14" s="588"/>
      <c r="O14" s="40" t="s">
        <v>1056</v>
      </c>
      <c r="IQ14" s="13"/>
    </row>
    <row r="15" spans="1:251" ht="15.75">
      <c r="A15" s="1025" t="s">
        <v>84</v>
      </c>
      <c r="B15" s="1026"/>
      <c r="C15" s="1026"/>
      <c r="D15" s="1026"/>
      <c r="E15" s="1026"/>
      <c r="F15" s="1026"/>
      <c r="G15" s="1026"/>
      <c r="H15" s="1026"/>
      <c r="I15" s="1026"/>
      <c r="J15" s="1026"/>
      <c r="K15" s="1026"/>
      <c r="IQ15" s="13"/>
    </row>
    <row r="16" spans="1:251" ht="12.75">
      <c r="A16" s="1027" t="s">
        <v>101</v>
      </c>
      <c r="B16" s="1026"/>
      <c r="C16" s="1026"/>
      <c r="D16" s="1026"/>
      <c r="E16" s="1026"/>
      <c r="F16" s="1026"/>
      <c r="G16" s="1026"/>
      <c r="H16" s="1026"/>
      <c r="I16" s="1026"/>
      <c r="J16" s="1026"/>
      <c r="K16" s="1026"/>
      <c r="IQ16" s="13"/>
    </row>
    <row r="17" spans="1:251" ht="12.75">
      <c r="A17" s="1027" t="s">
        <v>102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IQ17" s="13"/>
    </row>
    <row r="18" spans="1:251" ht="12.75">
      <c r="A18" s="1030" t="s">
        <v>1148</v>
      </c>
      <c r="B18" s="1026"/>
      <c r="C18" s="1026"/>
      <c r="D18" s="1026"/>
      <c r="E18" s="1026"/>
      <c r="F18" s="1026"/>
      <c r="G18" s="1026"/>
      <c r="H18" s="1026"/>
      <c r="I18" s="1026"/>
      <c r="J18" s="1026"/>
      <c r="K18" s="1026"/>
      <c r="IQ18" s="13"/>
    </row>
    <row r="19" spans="1:251" ht="19.5" customHeight="1">
      <c r="A19" s="496" t="s">
        <v>1003</v>
      </c>
      <c r="B19" s="497">
        <f>IF(Input!$B$7="","",Input!$B$7)</f>
      </c>
      <c r="C19" s="498"/>
      <c r="D19" s="1020" t="s">
        <v>107</v>
      </c>
      <c r="E19" s="500">
        <v>1</v>
      </c>
      <c r="F19" s="501">
        <f>IF(Input!$C$64="","",Input!$C$64)</f>
      </c>
      <c r="G19" s="500">
        <v>5</v>
      </c>
      <c r="H19" s="501">
        <f>IF(Input!$E$64="","",Input!$E$64)</f>
      </c>
      <c r="I19" s="502" t="s">
        <v>560</v>
      </c>
      <c r="J19" s="607"/>
      <c r="K19" s="503"/>
      <c r="IQ19" s="13">
        <f>IF(Data!D78="","",Data!D78)</f>
        <v>0</v>
      </c>
    </row>
    <row r="20" spans="1:251" ht="19.5" customHeight="1">
      <c r="A20" s="496" t="s">
        <v>103</v>
      </c>
      <c r="B20" s="497">
        <f>IF(Input!$B$8="","",Input!$B$8)</f>
      </c>
      <c r="C20" s="498"/>
      <c r="D20" s="1021"/>
      <c r="E20" s="500">
        <v>2</v>
      </c>
      <c r="F20" s="501">
        <f>IF(Input!$C$65="","",Input!$C$65)</f>
      </c>
      <c r="G20" s="500">
        <v>6</v>
      </c>
      <c r="H20" s="501">
        <f>IF(Input!$E$65="","",Input!$E$65)</f>
      </c>
      <c r="I20" s="505" t="s">
        <v>50</v>
      </c>
      <c r="J20" s="506">
        <f ca="1">TODAY()</f>
        <v>40878</v>
      </c>
      <c r="K20" s="503"/>
      <c r="IQ20" s="13">
        <f>IF(Data!D79="","",Data!D79)</f>
        <v>0</v>
      </c>
    </row>
    <row r="21" spans="1:251" ht="19.5" customHeight="1">
      <c r="A21" s="496" t="s">
        <v>1041</v>
      </c>
      <c r="B21" s="497">
        <f>IF(Input!$B$10="","",Input!$B$10)</f>
      </c>
      <c r="C21" s="498"/>
      <c r="D21" s="1021"/>
      <c r="E21" s="500">
        <v>3</v>
      </c>
      <c r="F21" s="501">
        <f>IF(Input!$C$66="","",Input!$C$66)</f>
      </c>
      <c r="G21" s="500">
        <v>7</v>
      </c>
      <c r="H21" s="501">
        <f>IF(Input!$E$66="","",Input!$E$66)</f>
      </c>
      <c r="I21" s="496" t="s">
        <v>1034</v>
      </c>
      <c r="J21" s="507">
        <f>IF(Input!$B$30="","",Input!$B$30)</f>
      </c>
      <c r="K21" s="508"/>
      <c r="IQ21" s="13">
        <f>IF(Data!D80="","",Data!D80)</f>
        <v>0</v>
      </c>
    </row>
    <row r="22" spans="1:251" ht="19.5" customHeight="1">
      <c r="A22" s="496" t="s">
        <v>1004</v>
      </c>
      <c r="B22" s="497">
        <f>IF(Input!$E$5="","",Input!$E$5)</f>
      </c>
      <c r="C22" s="498"/>
      <c r="D22" s="1022"/>
      <c r="E22" s="500">
        <v>4</v>
      </c>
      <c r="F22" s="501">
        <f>IF(Input!$C$67="","",Input!$C$67)</f>
      </c>
      <c r="G22" s="500">
        <v>8</v>
      </c>
      <c r="H22" s="501">
        <f>IF(Input!$E$67="","",Input!$E$67)</f>
      </c>
      <c r="I22" s="496" t="s">
        <v>1035</v>
      </c>
      <c r="J22" s="507">
        <f>IF(Input!$B$31="","",Input!$B$31)</f>
      </c>
      <c r="K22" s="508"/>
      <c r="IQ22" s="13">
        <f>IF(Data!D81="","",Data!D81)</f>
        <v>0</v>
      </c>
    </row>
    <row r="23" spans="1:251" ht="19.5" customHeight="1">
      <c r="A23" s="510" t="s">
        <v>49</v>
      </c>
      <c r="B23" s="497">
        <f>IF(Input!$E$6="","",Input!$E$6)</f>
      </c>
      <c r="C23" s="498"/>
      <c r="D23" s="496" t="s">
        <v>1017</v>
      </c>
      <c r="E23" s="511">
        <f>IF(Input!$B$68="","",Input!$B$68)</f>
      </c>
      <c r="F23" s="512"/>
      <c r="G23" s="512"/>
      <c r="H23" s="512"/>
      <c r="I23" s="496" t="s">
        <v>1030</v>
      </c>
      <c r="J23" s="507">
        <f>IF(Input!$B$32="","",Input!$B$32)</f>
      </c>
      <c r="K23" s="508"/>
      <c r="IQ23" s="13">
        <f>IF(Data!D82="","",Data!D82)</f>
        <v>0</v>
      </c>
    </row>
    <row r="24" spans="1:251" ht="19.5" customHeight="1">
      <c r="A24" s="510" t="s">
        <v>106</v>
      </c>
      <c r="B24" s="497">
        <f>IF(Input!$E$7="","",Input!$E$7)</f>
      </c>
      <c r="C24" s="498"/>
      <c r="D24" s="496" t="s">
        <v>1018</v>
      </c>
      <c r="E24" s="511">
        <f>IF(Input!$B$69="","",Input!$B$69)</f>
      </c>
      <c r="F24" s="512"/>
      <c r="G24" s="512"/>
      <c r="H24" s="512"/>
      <c r="I24" s="496" t="s">
        <v>1036</v>
      </c>
      <c r="J24" s="507">
        <f>IF(Input!$B$33="","",Input!$B$33)</f>
      </c>
      <c r="K24" s="508"/>
      <c r="IQ24" s="13">
        <f>IF(Data!D83="","",Data!D83)</f>
        <v>0</v>
      </c>
    </row>
    <row r="25" spans="1:251" ht="19.5" customHeight="1">
      <c r="A25" s="510" t="s">
        <v>48</v>
      </c>
      <c r="B25" s="497">
        <f>IF(Input!$E$8="","",Input!$E$8)</f>
      </c>
      <c r="C25" s="498"/>
      <c r="D25" s="496" t="s">
        <v>1019</v>
      </c>
      <c r="E25" s="511">
        <f>IF(Input!$B$70="","",Input!$B$70)</f>
      </c>
      <c r="F25" s="512"/>
      <c r="G25" s="512"/>
      <c r="H25" s="512"/>
      <c r="I25" s="496" t="s">
        <v>1033</v>
      </c>
      <c r="J25" s="507">
        <f>IF(Input!$B$34="","",Input!$B$34)</f>
      </c>
      <c r="K25" s="508"/>
      <c r="IQ25" s="13">
        <f>IF(Data!D84="","",Data!D84)</f>
        <v>0</v>
      </c>
    </row>
    <row r="26" spans="1:251" ht="19.5" customHeight="1">
      <c r="A26" s="496" t="s">
        <v>1039</v>
      </c>
      <c r="B26" s="497">
        <f>IF(Input!$B$37="","",Input!$B$37)</f>
      </c>
      <c r="C26" s="498"/>
      <c r="D26" s="496" t="s">
        <v>1020</v>
      </c>
      <c r="E26" s="511">
        <f>IF(Input!$B$71="","",Input!$B$71)</f>
      </c>
      <c r="F26" s="512"/>
      <c r="G26" s="512"/>
      <c r="H26" s="512"/>
      <c r="I26" s="496" t="s">
        <v>1037</v>
      </c>
      <c r="J26" s="507">
        <f>IF(Input!$B$35="","",Input!$B$35)</f>
      </c>
      <c r="K26" s="50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IQ26" s="13">
        <f>IF(Data!D86="","",Data!D86)</f>
        <v>0</v>
      </c>
    </row>
    <row r="27" spans="1:251" ht="19.5" customHeight="1">
      <c r="A27" s="496" t="s">
        <v>98</v>
      </c>
      <c r="B27" s="573"/>
      <c r="C27" s="574"/>
      <c r="D27" s="496" t="s">
        <v>1021</v>
      </c>
      <c r="E27" s="511">
        <f>IF(Input!$B$72="","",Input!$B$72)</f>
      </c>
      <c r="F27" s="512"/>
      <c r="G27" s="512"/>
      <c r="H27" s="512"/>
      <c r="I27" s="496" t="s">
        <v>1038</v>
      </c>
      <c r="J27" s="507">
        <f>IF(Input!$B$36="","",Input!$B$36)</f>
      </c>
      <c r="K27" s="50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IQ27" s="13">
        <f>IF(Data!D87="","",Data!D87)</f>
        <v>0</v>
      </c>
    </row>
    <row r="28" spans="1:251" ht="19.5" customHeight="1">
      <c r="A28" s="496" t="s">
        <v>104</v>
      </c>
      <c r="B28" s="497">
        <f>IF(Input!$B$9="","",Input!$B$9)</f>
      </c>
      <c r="C28" s="498"/>
      <c r="D28" s="496" t="s">
        <v>1022</v>
      </c>
      <c r="E28" s="511">
        <f>IF(Input!$B$73="","",Input!$B$73)</f>
      </c>
      <c r="F28" s="512"/>
      <c r="G28" s="512"/>
      <c r="H28" s="512"/>
      <c r="I28" s="513"/>
      <c r="J28" s="514"/>
      <c r="K28" s="51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IQ28" s="13">
        <f>IF(Data!D88="","",Data!D88)</f>
        <v>0</v>
      </c>
    </row>
    <row r="29" spans="1:251" ht="19.5" customHeight="1">
      <c r="A29" s="496" t="s">
        <v>105</v>
      </c>
      <c r="B29" s="516">
        <f>'Setup Bm Input'!$B$34</f>
      </c>
      <c r="C29" s="498" t="str">
        <f>IF(Input!$B$6="","",IF(Input!$B$6="E","in.",IF(Input!$B$6="M","mm")))</f>
        <v>in.</v>
      </c>
      <c r="D29" s="496" t="s">
        <v>1024</v>
      </c>
      <c r="E29" s="511">
        <f>IF('Setup Bm Input'!$A$46="","",'Setup Bm Input'!$A$46)</f>
      </c>
      <c r="F29" s="512"/>
      <c r="G29" s="512"/>
      <c r="H29" s="512"/>
      <c r="I29" s="517"/>
      <c r="J29" s="518"/>
      <c r="K29" s="51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IQ29" s="13">
        <f>IF(Data!D89="","",Data!D89)</f>
        <v>0</v>
      </c>
    </row>
    <row r="30" spans="1:251" ht="19.5" customHeight="1">
      <c r="A30" s="589"/>
      <c r="B30" s="590"/>
      <c r="C30" s="590"/>
      <c r="D30" s="589"/>
      <c r="E30" s="591"/>
      <c r="F30" s="512"/>
      <c r="G30" s="512"/>
      <c r="H30" s="512"/>
      <c r="I30" s="517"/>
      <c r="J30" s="518"/>
      <c r="K30" s="51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IQ30" s="13">
        <f>IF(Data!D90="","",Data!D90)</f>
        <v>0</v>
      </c>
    </row>
    <row r="31" spans="1:251" ht="12.75">
      <c r="A31" s="503"/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IQ31" s="13">
        <f>IF(Data!D91="","",Data!D91)</f>
        <v>0</v>
      </c>
    </row>
    <row r="32" spans="1:251" ht="12.75">
      <c r="A32" s="1031" t="s">
        <v>108</v>
      </c>
      <c r="B32" s="1032"/>
      <c r="C32" s="1032"/>
      <c r="D32" s="1032"/>
      <c r="E32" s="1032"/>
      <c r="F32" s="1032"/>
      <c r="G32" s="1032"/>
      <c r="H32" s="1032"/>
      <c r="I32" s="1032"/>
      <c r="J32" s="1032"/>
      <c r="K32" s="103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IQ32" s="13">
        <f>IF(Data!D92="","",Data!D92)</f>
        <v>0</v>
      </c>
    </row>
    <row r="33" spans="1:251" ht="15.75">
      <c r="A33" s="503"/>
      <c r="B33" s="494" t="s">
        <v>1093</v>
      </c>
      <c r="C33" s="503"/>
      <c r="D33" s="503"/>
      <c r="E33" s="503"/>
      <c r="F33" s="494" t="s">
        <v>1151</v>
      </c>
      <c r="G33" s="503"/>
      <c r="H33" s="494"/>
      <c r="I33" s="503"/>
      <c r="J33" s="503"/>
      <c r="K33" s="50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IQ33" s="13">
        <f>IF(Data!D93="","",Data!D93)</f>
        <v>0</v>
      </c>
    </row>
    <row r="34" spans="1:251" ht="15.75">
      <c r="A34" s="503"/>
      <c r="B34" s="494" t="s">
        <v>837</v>
      </c>
      <c r="C34" s="493"/>
      <c r="D34" s="503"/>
      <c r="E34" s="503"/>
      <c r="F34" s="494" t="s">
        <v>1096</v>
      </c>
      <c r="G34" s="503"/>
      <c r="H34" s="494"/>
      <c r="I34" s="493"/>
      <c r="J34" s="493"/>
      <c r="K34" s="49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IQ34" s="13">
        <f>IF(Data!D94="","",Data!D94)</f>
        <v>0</v>
      </c>
    </row>
    <row r="35" spans="1:251" ht="15.75">
      <c r="A35" s="503"/>
      <c r="B35" s="494" t="s">
        <v>1094</v>
      </c>
      <c r="C35" s="503"/>
      <c r="D35" s="503"/>
      <c r="E35" s="503"/>
      <c r="F35" s="494" t="s">
        <v>1097</v>
      </c>
      <c r="G35" s="503"/>
      <c r="H35" s="494"/>
      <c r="I35" s="493"/>
      <c r="J35" s="493"/>
      <c r="K35" s="49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IQ35" s="13">
        <f>IF(Data!D95="","",Data!D95)</f>
        <v>0</v>
      </c>
    </row>
    <row r="36" spans="1:251" ht="15.75">
      <c r="A36" s="503"/>
      <c r="B36" s="494" t="s">
        <v>1095</v>
      </c>
      <c r="C36" s="503"/>
      <c r="D36" s="503"/>
      <c r="E36" s="503"/>
      <c r="F36" s="494" t="s">
        <v>1098</v>
      </c>
      <c r="G36" s="503"/>
      <c r="H36" s="494"/>
      <c r="I36" s="493"/>
      <c r="J36" s="493"/>
      <c r="K36" s="49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IQ36" s="13">
        <f>IF(Data!D96="","",Data!D96)</f>
        <v>0</v>
      </c>
    </row>
    <row r="37" spans="1:251" ht="12.75">
      <c r="A37" s="503"/>
      <c r="B37" s="528"/>
      <c r="C37" s="503"/>
      <c r="D37" s="503"/>
      <c r="E37" s="503"/>
      <c r="F37" s="503"/>
      <c r="G37" s="503"/>
      <c r="H37" s="494"/>
      <c r="I37" s="493"/>
      <c r="J37" s="493"/>
      <c r="K37" s="49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IQ37" s="13">
        <f>IF(Data!D97="","",Data!D97)</f>
        <v>0</v>
      </c>
    </row>
    <row r="38" spans="1:251" ht="12.75">
      <c r="A38" s="592"/>
      <c r="B38" s="493"/>
      <c r="C38" s="592"/>
      <c r="D38" s="592"/>
      <c r="E38" s="592"/>
      <c r="F38" s="592"/>
      <c r="G38" s="592"/>
      <c r="H38" s="592"/>
      <c r="I38" s="592"/>
      <c r="J38" s="592"/>
      <c r="K38" s="59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IQ38" s="13">
        <f>IF(Data!D98="","",Data!D98)</f>
        <v>0</v>
      </c>
    </row>
    <row r="39" spans="1:251" ht="12.75">
      <c r="A39" s="1033" t="s">
        <v>1150</v>
      </c>
      <c r="B39" s="1034"/>
      <c r="C39" s="1034"/>
      <c r="D39" s="1034"/>
      <c r="E39" s="1034"/>
      <c r="F39" s="1034"/>
      <c r="G39" s="1034"/>
      <c r="H39" s="1034"/>
      <c r="I39" s="1034"/>
      <c r="J39" s="1034"/>
      <c r="K39" s="103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IQ39" s="13">
        <f>IF(Data!D99="","",Data!D99)</f>
        <v>0</v>
      </c>
    </row>
    <row r="40" spans="1:251" ht="12.75">
      <c r="A40" s="1028"/>
      <c r="B40" s="1029"/>
      <c r="C40" s="1029"/>
      <c r="D40" s="1029"/>
      <c r="E40" s="1029"/>
      <c r="F40" s="1029"/>
      <c r="G40" s="1029"/>
      <c r="H40" s="1029"/>
      <c r="I40" s="1029"/>
      <c r="J40" s="1029"/>
      <c r="K40" s="102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IQ40" s="13">
        <f>IF(Data!D100="","",Data!D100)</f>
        <v>0</v>
      </c>
    </row>
    <row r="41" spans="1:251" ht="15.75">
      <c r="A41" s="493"/>
      <c r="B41" s="255" t="s">
        <v>1078</v>
      </c>
      <c r="C41" s="344" t="s">
        <v>1088</v>
      </c>
      <c r="D41" s="255" t="s">
        <v>1087</v>
      </c>
      <c r="E41" s="567" t="str">
        <f>IF(Input!$B$6="","",IF(Input!$B$6="E","in.",IF(Input!$B$6="M","mm")))</f>
        <v>in.</v>
      </c>
      <c r="F41" s="494" t="s">
        <v>1086</v>
      </c>
      <c r="G41" s="344" t="s">
        <v>1091</v>
      </c>
      <c r="H41" s="70" t="s">
        <v>1092</v>
      </c>
      <c r="I41" s="567" t="str">
        <f>IF(Input!$B$6="","",IF(Input!$B$6="E","lbs.",IF(Input!$B$6="M","N")))</f>
        <v>lbs.</v>
      </c>
      <c r="J41" s="593"/>
      <c r="K41" s="59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IQ41" s="13">
        <f>IF(Data!D101="","",Data!D101)</f>
        <v>0</v>
      </c>
    </row>
    <row r="42" spans="1:251" ht="12.75">
      <c r="A42" s="493"/>
      <c r="B42" s="512"/>
      <c r="C42" s="493"/>
      <c r="D42" s="255"/>
      <c r="E42" s="593"/>
      <c r="F42" s="70" t="s">
        <v>1061</v>
      </c>
      <c r="G42" s="593"/>
      <c r="H42" s="593"/>
      <c r="I42" s="545"/>
      <c r="J42" s="545"/>
      <c r="K42" s="54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IQ42" s="13">
        <f>IF(Data!D102="","",Data!D102)</f>
        <v>0</v>
      </c>
    </row>
    <row r="43" spans="1:251" ht="12.75">
      <c r="A43" s="493"/>
      <c r="B43" s="255" t="s">
        <v>1079</v>
      </c>
      <c r="C43" s="493"/>
      <c r="D43" s="255"/>
      <c r="E43" s="593"/>
      <c r="F43" s="528" t="s">
        <v>1083</v>
      </c>
      <c r="G43" s="593"/>
      <c r="H43" s="593"/>
      <c r="I43" s="545"/>
      <c r="J43" s="545"/>
      <c r="K43" s="545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IQ43" s="13">
        <f>IF(Data!D103="","",Data!D103)</f>
        <v>0</v>
      </c>
    </row>
    <row r="44" spans="1:251" ht="15.75">
      <c r="A44" s="493"/>
      <c r="B44" s="255" t="s">
        <v>1077</v>
      </c>
      <c r="C44" s="344" t="s">
        <v>1089</v>
      </c>
      <c r="D44" s="255" t="s">
        <v>1090</v>
      </c>
      <c r="E44" s="567" t="str">
        <f>IF(Input!$B$6="","",IF(Input!$B$6="E","in.",IF(Input!$B$6="M","mm")))</f>
        <v>in.</v>
      </c>
      <c r="F44" s="528"/>
      <c r="G44" s="593"/>
      <c r="H44" s="593"/>
      <c r="I44" s="545"/>
      <c r="J44" s="545"/>
      <c r="K44" s="54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IQ44" s="13">
        <f>IF(Data!D104="","",Data!D104)</f>
        <v>0</v>
      </c>
    </row>
    <row r="45" spans="1:251" ht="12.75">
      <c r="A45" s="493"/>
      <c r="B45" s="255" t="s">
        <v>112</v>
      </c>
      <c r="C45" s="493"/>
      <c r="D45" s="255"/>
      <c r="E45" s="593"/>
      <c r="F45" s="593"/>
      <c r="G45" s="593"/>
      <c r="H45" s="593"/>
      <c r="I45" s="545"/>
      <c r="J45" s="545"/>
      <c r="K45" s="545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IQ45" s="13">
        <f>IF(Data!D105="","",Data!D105)</f>
        <v>0</v>
      </c>
    </row>
    <row r="46" spans="1:251" ht="12.75">
      <c r="A46" s="593"/>
      <c r="B46" s="545"/>
      <c r="C46" s="593"/>
      <c r="D46" s="593"/>
      <c r="E46" s="593"/>
      <c r="F46" s="593"/>
      <c r="G46" s="593"/>
      <c r="H46" s="593"/>
      <c r="I46" s="593"/>
      <c r="J46" s="593"/>
      <c r="K46" s="59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IQ46" s="13">
        <f>IF(Data!D106="","",Data!D106)</f>
        <v>0</v>
      </c>
    </row>
    <row r="47" spans="1:251" ht="15.75">
      <c r="A47" s="493"/>
      <c r="B47" s="344" t="s">
        <v>1111</v>
      </c>
      <c r="C47" s="594">
        <f>+IF('Setup Bm Input'!B48="","",'Setup Bm Input'!B48)</f>
      </c>
      <c r="D47" s="493"/>
      <c r="E47" s="595" t="s">
        <v>1113</v>
      </c>
      <c r="F47" s="560">
        <f>+'Setup Bm Input'!B34</f>
      </c>
      <c r="G47" s="567" t="str">
        <f>IF(Input!$B$6="","",IF(Input!$B$6="E","in.",IF(Input!$B$6="M","mm")))</f>
        <v>in.</v>
      </c>
      <c r="H47" s="494"/>
      <c r="I47" s="493"/>
      <c r="J47" s="493"/>
      <c r="K47" s="49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IQ47" s="13">
        <f>IF(Data!D108="","",Data!D108)</f>
        <v>0</v>
      </c>
    </row>
    <row r="48" spans="1:251" ht="12.75">
      <c r="A48" s="493"/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IQ48" s="13">
        <f>IF(Data!D109="","",Data!D109)</f>
        <v>0</v>
      </c>
    </row>
    <row r="49" spans="1:251" ht="15.75">
      <c r="A49" s="493"/>
      <c r="B49" s="344" t="s">
        <v>1112</v>
      </c>
      <c r="C49" s="596">
        <f>IF($B$8="Yes",$F$9,0)</f>
        <v>0</v>
      </c>
      <c r="D49" s="567" t="str">
        <f>IF(Input!$B$6="","",IF(Input!$B$6="E","in.",IF(Input!$B$6="M","mm")))</f>
        <v>in.</v>
      </c>
      <c r="E49" s="493"/>
      <c r="F49" s="493"/>
      <c r="G49" s="493"/>
      <c r="H49" s="493"/>
      <c r="I49" s="493"/>
      <c r="J49" s="493"/>
      <c r="K49" s="49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IQ49" s="13">
        <f>IF(Data!D110="","",Data!D110)</f>
        <v>0</v>
      </c>
    </row>
    <row r="50" spans="1:32" ht="12.75">
      <c r="A50" s="493"/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2.75">
      <c r="A51" s="493"/>
      <c r="B51" s="70"/>
      <c r="C51" s="531"/>
      <c r="D51" s="493"/>
      <c r="E51" s="493"/>
      <c r="F51" s="493"/>
      <c r="G51" s="493"/>
      <c r="H51" s="493"/>
      <c r="I51" s="493"/>
      <c r="J51" s="493"/>
      <c r="K51" s="49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.75">
      <c r="A52" s="530"/>
      <c r="B52" s="597"/>
      <c r="C52" s="597"/>
      <c r="D52" s="597"/>
      <c r="E52" s="597"/>
      <c r="F52" s="597"/>
      <c r="G52" s="559" t="s">
        <v>1084</v>
      </c>
      <c r="H52" s="559" t="s">
        <v>1085</v>
      </c>
      <c r="I52" s="530"/>
      <c r="J52" s="530"/>
      <c r="K52" s="53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.75">
      <c r="A53" s="597"/>
      <c r="B53" s="493"/>
      <c r="C53" s="493"/>
      <c r="D53" s="493"/>
      <c r="E53" s="493"/>
      <c r="F53" s="493"/>
      <c r="G53" s="598" t="s">
        <v>1108</v>
      </c>
      <c r="H53" s="599" t="s">
        <v>1065</v>
      </c>
      <c r="I53" s="530"/>
      <c r="J53" s="530"/>
      <c r="K53" s="53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.75">
      <c r="A54" s="530"/>
      <c r="B54" s="493"/>
      <c r="C54" s="493"/>
      <c r="D54" s="493"/>
      <c r="E54" s="559" t="s">
        <v>1080</v>
      </c>
      <c r="F54" s="559" t="s">
        <v>1081</v>
      </c>
      <c r="G54" s="600" t="s">
        <v>1064</v>
      </c>
      <c r="H54" s="600" t="s">
        <v>1064</v>
      </c>
      <c r="I54" s="597"/>
      <c r="J54" s="597"/>
      <c r="K54" s="59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.75">
      <c r="A55" s="493"/>
      <c r="B55" s="493"/>
      <c r="C55" s="601" t="s">
        <v>113</v>
      </c>
      <c r="D55" s="560" t="s">
        <v>115</v>
      </c>
      <c r="E55" s="560" t="str">
        <f>IF(Input!$B$6="","",IF(Input!$B$6="E","Area (sq. in.)",IF(Input!$B$6="M","Area (sq. mm)")))</f>
        <v>Area (sq. in.)</v>
      </c>
      <c r="F55" s="602" t="str">
        <f>IF(Input!$B$6="","",IF(Input!$B$6="E","Mod. El. (psi)",IF(Input!$B$6="M","Mod. El. (kPA)")))</f>
        <v>Mod. El. (psi)</v>
      </c>
      <c r="G55" s="603" t="str">
        <f>IF(Input!$B$6="","",IF(Input!$B$6="E","Strand (in.)",IF(Input!$B$6="M","Strand (mm)")))</f>
        <v>Strand (in.)</v>
      </c>
      <c r="H55" s="600" t="str">
        <f>IF(Input!$B$6="","",IF(Input!$B$6="E","Strand (lbs.)",IF(Input!$B$6="M","Strand (N)")))</f>
        <v>Strand (lbs.)</v>
      </c>
      <c r="I55" s="567"/>
      <c r="J55" s="530"/>
      <c r="K55" s="53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.75">
      <c r="A56" s="493"/>
      <c r="B56" s="493"/>
      <c r="C56" s="560" t="s">
        <v>90</v>
      </c>
      <c r="D56" s="594">
        <f>+IF('Setup Bm Input'!B63="","",'Setup Bm Input'!B63)</f>
      </c>
      <c r="E56" s="594">
        <f>+IF('Setup Bm Input'!D63="","",'Setup Bm Input'!D63)</f>
      </c>
      <c r="F56" s="594">
        <f>+IF('Setup Bm Input'!E63="","",'Setup Bm Input'!E63)</f>
      </c>
      <c r="G56" s="596">
        <f>IF(E56="","",IF($B$8="Yes",$F$9/$C$47+$F$9/2,""))</f>
      </c>
      <c r="H56" s="605">
        <f>+IF(G56="","",IF($B$8="Yes",IF(Input!$B$6="E",G56/'Setup Bm Input'!$B$34*'Anch Move'!F56*'Anch Move'!E56,G56/'Setup Bm Input'!$B$34*'Anch Move'!F56*'Anch Move'!E56/1000),""))</f>
      </c>
      <c r="I56" s="567"/>
      <c r="J56" s="530"/>
      <c r="K56" s="53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2.75">
      <c r="A57" s="493"/>
      <c r="B57" s="493"/>
      <c r="C57" s="560" t="s">
        <v>91</v>
      </c>
      <c r="D57" s="594">
        <f>+IF('Setup Bm Input'!B64="","",'Setup Bm Input'!B64)</f>
      </c>
      <c r="E57" s="594">
        <f>+IF('Setup Bm Input'!D64="","",'Setup Bm Input'!D64)</f>
      </c>
      <c r="F57" s="594">
        <f>+IF('Setup Bm Input'!E64="","",'Setup Bm Input'!E64)</f>
      </c>
      <c r="G57" s="596">
        <f>IF(E57="","",IF($B$8="Yes",$F$9/$C$47+$F$9/2,""))</f>
      </c>
      <c r="H57" s="605">
        <f>+IF(G57="","",IF($B$8="Yes",IF(Input!$B$6="E",G57/'Setup Bm Input'!$B$34*'Anch Move'!F57*'Anch Move'!E57,G57/'Setup Bm Input'!$B$34*'Anch Move'!F57*'Anch Move'!E57/1000),""))</f>
      </c>
      <c r="I57" s="530"/>
      <c r="J57" s="530"/>
      <c r="K57" s="53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.75">
      <c r="A58" s="493"/>
      <c r="B58" s="493"/>
      <c r="C58" s="560" t="s">
        <v>92</v>
      </c>
      <c r="D58" s="594">
        <f>+IF('Setup Bm Input'!B65="","",'Setup Bm Input'!B65)</f>
      </c>
      <c r="E58" s="594">
        <f>+IF('Setup Bm Input'!D65="","",'Setup Bm Input'!D65)</f>
      </c>
      <c r="F58" s="594">
        <f>+IF('Setup Bm Input'!E65="","",'Setup Bm Input'!E65)</f>
      </c>
      <c r="G58" s="596">
        <f>IF(E58="","",IF($B$8="Yes",$F$9/$C$47+$F$9/2,""))</f>
      </c>
      <c r="H58" s="605">
        <f>+IF(G58="","",IF($B$8="Yes",IF(Input!$B$6="E",G58/'Setup Bm Input'!$B$34*'Anch Move'!F58*'Anch Move'!E58,G58/'Setup Bm Input'!$B$34*'Anch Move'!F58*'Anch Move'!E58/1000),""))</f>
      </c>
      <c r="I58" s="530"/>
      <c r="J58" s="530"/>
      <c r="K58" s="53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2.75">
      <c r="A59" s="493"/>
      <c r="B59" s="493"/>
      <c r="C59" s="560" t="s">
        <v>93</v>
      </c>
      <c r="D59" s="594">
        <f>+IF('Setup Bm Input'!B66="","",'Setup Bm Input'!B66)</f>
      </c>
      <c r="E59" s="594">
        <f>+IF('Setup Bm Input'!D66="","",'Setup Bm Input'!D66)</f>
      </c>
      <c r="F59" s="594">
        <f>+IF('Setup Bm Input'!E66="","",'Setup Bm Input'!E66)</f>
      </c>
      <c r="G59" s="596">
        <f>IF(E59="","",IF($B$8="Yes",$F$9/$C$47+$F$9/2,""))</f>
      </c>
      <c r="H59" s="605">
        <f>+IF(G59="","",IF($B$8="Yes",IF(Input!$B$6="E",G59/'Setup Bm Input'!$B$34*'Anch Move'!F59*'Anch Move'!E59,G59/'Setup Bm Input'!$B$34*'Anch Move'!F59*'Anch Move'!E59/1000),""))</f>
      </c>
      <c r="I59" s="530"/>
      <c r="J59" s="530"/>
      <c r="K59" s="53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2.75">
      <c r="A60" s="493"/>
      <c r="B60" s="493"/>
      <c r="C60" s="493"/>
      <c r="D60" s="493"/>
      <c r="E60" s="493"/>
      <c r="F60" s="493"/>
      <c r="G60" s="493"/>
      <c r="H60" s="493"/>
      <c r="I60" s="530"/>
      <c r="J60" s="530"/>
      <c r="K60" s="53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2.75">
      <c r="A61" s="513" t="s">
        <v>99</v>
      </c>
      <c r="B61" s="575"/>
      <c r="C61" s="576"/>
      <c r="D61" s="576"/>
      <c r="E61" s="576"/>
      <c r="F61" s="576"/>
      <c r="G61" s="576"/>
      <c r="H61" s="576"/>
      <c r="I61" s="576"/>
      <c r="J61" s="576"/>
      <c r="K61" s="57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2.75">
      <c r="A62" s="503"/>
      <c r="B62" s="577"/>
      <c r="C62" s="577"/>
      <c r="D62" s="577"/>
      <c r="E62" s="577"/>
      <c r="F62" s="577"/>
      <c r="G62" s="577"/>
      <c r="H62" s="577"/>
      <c r="I62" s="577"/>
      <c r="J62" s="577"/>
      <c r="K62" s="577"/>
      <c r="L62" s="2"/>
      <c r="M62" s="2"/>
      <c r="N62" s="2"/>
      <c r="O62" s="156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2.75">
      <c r="A63" s="576"/>
      <c r="B63" s="576"/>
      <c r="C63" s="576"/>
      <c r="D63" s="576"/>
      <c r="E63" s="576"/>
      <c r="F63" s="576"/>
      <c r="G63" s="576"/>
      <c r="H63" s="576"/>
      <c r="I63" s="576"/>
      <c r="J63" s="576"/>
      <c r="K63" s="576"/>
      <c r="L63" s="2"/>
      <c r="M63" s="2"/>
      <c r="N63" s="2"/>
      <c r="O63" s="156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2.75">
      <c r="A64" s="503"/>
      <c r="B64" s="503"/>
      <c r="C64" s="503"/>
      <c r="D64" s="503"/>
      <c r="E64" s="503"/>
      <c r="F64" s="503"/>
      <c r="G64" s="503"/>
      <c r="H64" s="503"/>
      <c r="I64" s="503"/>
      <c r="J64" s="503"/>
      <c r="K64" s="50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2.75">
      <c r="A65" s="493"/>
      <c r="B65" s="503"/>
      <c r="C65" s="493"/>
      <c r="D65" s="503"/>
      <c r="E65" s="503"/>
      <c r="F65" s="568" t="s">
        <v>1016</v>
      </c>
      <c r="G65" s="569">
        <f>+B5</f>
      </c>
      <c r="H65" s="570"/>
      <c r="I65" s="571"/>
      <c r="J65" s="503"/>
      <c r="K65" s="57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.75">
      <c r="A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2:32" ht="12.75"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2:32" ht="12.75"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2:32" ht="12.75"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2:32" ht="12.75"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>
      <c r="A71" s="2"/>
      <c r="B71" s="5"/>
      <c r="C71" s="5"/>
      <c r="D71" s="5"/>
      <c r="E71" s="5"/>
      <c r="F71" s="5"/>
      <c r="G71" s="149"/>
      <c r="H71" s="14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.75">
      <c r="A72" s="2"/>
      <c r="B72" s="2"/>
      <c r="C72" s="5"/>
      <c r="D72" s="5"/>
      <c r="E72" s="5"/>
      <c r="F72" s="5"/>
      <c r="G72" s="5"/>
      <c r="H72" s="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.75">
      <c r="A73" s="2"/>
      <c r="B73" s="5"/>
      <c r="C73" s="148"/>
      <c r="D73" s="148"/>
      <c r="E73" s="148"/>
      <c r="F73" s="148"/>
      <c r="G73" s="148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.75">
      <c r="A74" s="2"/>
      <c r="B74" s="5"/>
      <c r="C74" s="148"/>
      <c r="D74" s="148"/>
      <c r="E74" s="148"/>
      <c r="F74" s="148"/>
      <c r="G74" s="14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.75">
      <c r="A75" s="2"/>
      <c r="B75" s="155"/>
      <c r="C75" s="148"/>
      <c r="D75" s="148"/>
      <c r="E75" s="148"/>
      <c r="F75" s="148"/>
      <c r="G75" s="148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.75">
      <c r="A76" s="2"/>
      <c r="B76" s="5"/>
      <c r="C76" s="148"/>
      <c r="D76" s="148"/>
      <c r="E76" s="148"/>
      <c r="F76" s="148"/>
      <c r="G76" s="14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>
      <c r="A77" s="15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.75">
      <c r="A78" s="2"/>
      <c r="B78" s="7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.7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.75">
      <c r="A81" s="2"/>
      <c r="B81" s="5"/>
      <c r="C81" s="2"/>
      <c r="D81" s="2"/>
      <c r="E81" s="2"/>
      <c r="F81" s="2"/>
      <c r="G81" s="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.75">
      <c r="A82" s="2"/>
      <c r="B82" s="149"/>
      <c r="C82" s="5"/>
      <c r="D82" s="149"/>
      <c r="E82" s="5"/>
      <c r="F82" s="149"/>
      <c r="G82" s="149"/>
      <c r="H82" s="5"/>
      <c r="I82" s="149"/>
      <c r="J82" s="5"/>
      <c r="K82" s="149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.75">
      <c r="A84" s="5"/>
      <c r="B84" s="5"/>
      <c r="C84" s="5"/>
      <c r="D84" s="5"/>
      <c r="E84" s="2"/>
      <c r="F84" s="2"/>
      <c r="G84" s="5"/>
      <c r="H84" s="5"/>
      <c r="I84" s="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.75">
      <c r="A85" s="155"/>
      <c r="B85" s="5"/>
      <c r="C85" s="5"/>
      <c r="D85" s="5"/>
      <c r="E85" s="57"/>
      <c r="F85" s="57"/>
      <c r="G85" s="5"/>
      <c r="H85" s="5"/>
      <c r="I85" s="5"/>
      <c r="J85" s="57"/>
      <c r="K85" s="57"/>
      <c r="L85" s="2"/>
      <c r="M85" s="2"/>
      <c r="N85" s="2"/>
      <c r="O85" s="5"/>
      <c r="P85" s="5"/>
      <c r="Q85" s="5"/>
      <c r="R85" s="5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2.75">
      <c r="A86" s="5"/>
      <c r="B86" s="5"/>
      <c r="C86" s="5"/>
      <c r="D86" s="5"/>
      <c r="E86" s="2"/>
      <c r="F86" s="2"/>
      <c r="G86" s="5"/>
      <c r="H86" s="5"/>
      <c r="I86" s="5"/>
      <c r="J86" s="2"/>
      <c r="K86" s="2"/>
      <c r="L86" s="2"/>
      <c r="M86" s="2"/>
      <c r="N86" s="2"/>
      <c r="O86" s="5"/>
      <c r="P86" s="5"/>
      <c r="Q86" s="5"/>
      <c r="R86" s="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.75">
      <c r="A87" s="2"/>
      <c r="B87" s="5"/>
      <c r="C87" s="5"/>
      <c r="D87" s="5"/>
      <c r="E87" s="2"/>
      <c r="F87" s="2"/>
      <c r="G87" s="5"/>
      <c r="H87" s="5"/>
      <c r="I87" s="5"/>
      <c r="J87" s="2"/>
      <c r="K87" s="2"/>
      <c r="L87" s="2"/>
      <c r="M87" s="2"/>
      <c r="N87" s="2"/>
      <c r="O87" s="5"/>
      <c r="P87" s="5"/>
      <c r="Q87" s="5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2.75">
      <c r="A88" s="15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57"/>
      <c r="P88" s="157"/>
      <c r="Q88" s="157"/>
      <c r="R88" s="157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5"/>
      <c r="P89" s="5"/>
      <c r="Q89" s="5"/>
      <c r="R89" s="5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5"/>
      <c r="P90" s="5"/>
      <c r="Q90" s="5"/>
      <c r="R90" s="5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5.75">
      <c r="A91" s="16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5.75">
      <c r="A92" s="2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54"/>
      <c r="N93" s="4"/>
      <c r="O93" s="158"/>
      <c r="P93" s="158"/>
      <c r="Q93" s="158"/>
      <c r="R93" s="158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2.75">
      <c r="A94" s="2"/>
      <c r="B94" s="5"/>
      <c r="C94" s="5"/>
      <c r="D94" s="2"/>
      <c r="E94" s="2"/>
      <c r="F94" s="2"/>
      <c r="G94" s="4"/>
      <c r="H94" s="5"/>
      <c r="I94" s="2"/>
      <c r="J94" s="2"/>
      <c r="K94" s="2"/>
      <c r="L94" s="2"/>
      <c r="M94" s="154"/>
      <c r="N94" s="4"/>
      <c r="O94" s="5"/>
      <c r="P94" s="5"/>
      <c r="Q94" s="5"/>
      <c r="R94" s="5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2.75">
      <c r="A95" s="2"/>
      <c r="B95" s="2"/>
      <c r="C95" s="149"/>
      <c r="D95" s="5"/>
      <c r="E95" s="149"/>
      <c r="F95" s="5"/>
      <c r="G95" s="149"/>
      <c r="H95" s="149"/>
      <c r="I95" s="5"/>
      <c r="J95" s="2"/>
      <c r="K95" s="2"/>
      <c r="L95" s="2"/>
      <c r="M95" s="2"/>
      <c r="N95" s="4"/>
      <c r="O95" s="157"/>
      <c r="P95" s="157"/>
      <c r="Q95" s="157"/>
      <c r="R95" s="157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>
      <c r="A96" s="2"/>
      <c r="B96" s="2"/>
      <c r="C96" s="5"/>
      <c r="D96" s="5"/>
      <c r="E96" s="5"/>
      <c r="F96" s="5"/>
      <c r="G96" s="5"/>
      <c r="H96" s="5"/>
      <c r="I96" s="5"/>
      <c r="J96" s="5"/>
      <c r="K96" s="149"/>
      <c r="L96" s="2"/>
      <c r="M96" s="2"/>
      <c r="N96" s="4"/>
      <c r="O96" s="5"/>
      <c r="P96" s="5"/>
      <c r="Q96" s="5"/>
      <c r="R96" s="5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.75">
      <c r="A97" s="2"/>
      <c r="B97" s="5"/>
      <c r="C97" s="5"/>
      <c r="D97" s="5"/>
      <c r="E97" s="5"/>
      <c r="F97" s="2"/>
      <c r="G97" s="2"/>
      <c r="H97" s="5"/>
      <c r="I97" s="5"/>
      <c r="J97" s="5"/>
      <c r="K97" s="5"/>
      <c r="L97" s="2"/>
      <c r="M97" s="2"/>
      <c r="N97" s="2"/>
      <c r="O97" s="5"/>
      <c r="P97" s="5"/>
      <c r="Q97" s="5"/>
      <c r="R97" s="5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>
      <c r="A98" s="2"/>
      <c r="B98" s="5"/>
      <c r="C98" s="5"/>
      <c r="D98" s="5"/>
      <c r="E98" s="5"/>
      <c r="F98" s="57"/>
      <c r="G98" s="57"/>
      <c r="H98" s="5"/>
      <c r="I98" s="5"/>
      <c r="J98" s="2"/>
      <c r="K98" s="2"/>
      <c r="L98" s="2"/>
      <c r="M98" s="2"/>
      <c r="N98" s="4"/>
      <c r="O98" s="158"/>
      <c r="P98" s="158"/>
      <c r="Q98" s="158"/>
      <c r="R98" s="158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.75">
      <c r="A99" s="2"/>
      <c r="B99" s="155"/>
      <c r="C99" s="5"/>
      <c r="D99" s="5"/>
      <c r="E99" s="5"/>
      <c r="F99" s="2"/>
      <c r="G99" s="2"/>
      <c r="H99" s="5"/>
      <c r="I99" s="5"/>
      <c r="J99" s="57"/>
      <c r="K99" s="57"/>
      <c r="L99" s="2"/>
      <c r="M99" s="2"/>
      <c r="N99" s="4"/>
      <c r="O99" s="149"/>
      <c r="P99" s="149"/>
      <c r="Q99" s="149"/>
      <c r="R99" s="149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>
      <c r="A100" s="2"/>
      <c r="B100" s="5"/>
      <c r="C100" s="5"/>
      <c r="D100" s="5"/>
      <c r="E100" s="5"/>
      <c r="F100" s="2"/>
      <c r="G100" s="2"/>
      <c r="H100" s="5"/>
      <c r="I100" s="5"/>
      <c r="J100" s="2"/>
      <c r="K100" s="2"/>
      <c r="L100" s="2"/>
      <c r="M100" s="2"/>
      <c r="N100" s="4"/>
      <c r="O100" s="157"/>
      <c r="P100" s="157"/>
      <c r="Q100" s="157"/>
      <c r="R100" s="157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4"/>
      <c r="O101" s="5"/>
      <c r="P101" s="5"/>
      <c r="Q101" s="5"/>
      <c r="R101" s="5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>
      <c r="A102" s="2"/>
      <c r="B102" s="15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5"/>
      <c r="P102" s="5"/>
      <c r="Q102" s="5"/>
      <c r="R102" s="5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>
      <c r="A107" s="15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>
      <c r="A108" s="2"/>
      <c r="B108" s="159"/>
      <c r="C108" s="160"/>
      <c r="D108" s="160"/>
      <c r="E108" s="160"/>
      <c r="F108" s="160"/>
      <c r="G108" s="160"/>
      <c r="H108" s="160"/>
      <c r="I108" s="160"/>
      <c r="J108" s="160"/>
      <c r="K108" s="160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>
      <c r="A109" s="15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>
      <c r="A110" s="2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>
      <c r="A111" s="59"/>
      <c r="B111" s="2"/>
      <c r="C111" s="2"/>
      <c r="D111" s="2"/>
      <c r="E111" s="2"/>
      <c r="F111" s="2"/>
      <c r="G111" s="2"/>
      <c r="H111" s="15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>
      <c r="A112" s="59"/>
      <c r="B112" s="59"/>
      <c r="C112" s="59"/>
      <c r="D112" s="161"/>
      <c r="E112" s="59"/>
      <c r="F112" s="59"/>
      <c r="G112" s="59"/>
      <c r="H112" s="5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>
      <c r="A113" s="161"/>
      <c r="B113" s="59"/>
      <c r="C113" s="59"/>
      <c r="D113" s="59"/>
      <c r="E113" s="59"/>
      <c r="F113" s="59"/>
      <c r="G113" s="59"/>
      <c r="H113" s="5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>
      <c r="A114" s="162"/>
      <c r="B114" s="161"/>
      <c r="C114" s="161"/>
      <c r="D114" s="161"/>
      <c r="E114" s="161"/>
      <c r="F114" s="161"/>
      <c r="G114" s="161"/>
      <c r="H114" s="5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2:32" ht="12.75">
      <c r="B115" s="162"/>
      <c r="C115" s="162"/>
      <c r="D115" s="162"/>
      <c r="E115" s="162"/>
      <c r="F115" s="163"/>
      <c r="G115" s="163"/>
      <c r="H115" s="16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</sheetData>
  <sheetProtection sheet="1" objects="1" scenarios="1"/>
  <mergeCells count="9">
    <mergeCell ref="A1:C1"/>
    <mergeCell ref="A40:K40"/>
    <mergeCell ref="A15:K15"/>
    <mergeCell ref="A16:K16"/>
    <mergeCell ref="A17:K17"/>
    <mergeCell ref="A18:K18"/>
    <mergeCell ref="D19:D22"/>
    <mergeCell ref="A32:K32"/>
    <mergeCell ref="A39:K39"/>
  </mergeCells>
  <printOptions horizontalCentered="1"/>
  <pageMargins left="0.5" right="0.5" top="0.5" bottom="0.5" header="0" footer="0"/>
  <pageSetup fitToHeight="1" fitToWidth="1" horizontalDpi="600" verticalDpi="600" orientation="portrait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Q11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13.8515625" style="0" customWidth="1"/>
    <col min="3" max="3" width="13.421875" style="0" customWidth="1"/>
    <col min="4" max="4" width="16.140625" style="0" customWidth="1"/>
    <col min="5" max="5" width="13.7109375" style="0" customWidth="1"/>
    <col min="6" max="6" width="14.28125" style="0" customWidth="1"/>
    <col min="7" max="7" width="12.57421875" style="0" customWidth="1"/>
    <col min="8" max="8" width="13.421875" style="0" customWidth="1"/>
    <col min="9" max="9" width="12.8515625" style="0" customWidth="1"/>
    <col min="10" max="10" width="10.7109375" style="0" customWidth="1"/>
  </cols>
  <sheetData>
    <row r="1" spans="1:251" ht="12.75">
      <c r="A1" s="1023" t="s">
        <v>861</v>
      </c>
      <c r="B1" s="1024"/>
      <c r="C1" s="1024"/>
      <c r="D1" s="493"/>
      <c r="E1" s="493"/>
      <c r="F1" s="493"/>
      <c r="G1" s="493"/>
      <c r="H1" s="493"/>
      <c r="I1" s="493"/>
      <c r="J1" s="493"/>
      <c r="K1" s="493"/>
      <c r="IQ1" t="s">
        <v>1050</v>
      </c>
    </row>
    <row r="2" spans="1:251" ht="12.75">
      <c r="A2" s="578"/>
      <c r="B2" s="493"/>
      <c r="C2" s="493"/>
      <c r="D2" s="493"/>
      <c r="E2" s="493"/>
      <c r="F2" s="493"/>
      <c r="G2" s="493"/>
      <c r="H2" s="493"/>
      <c r="I2" s="493"/>
      <c r="J2" s="493"/>
      <c r="K2" s="493"/>
      <c r="IQ2" s="13">
        <f>IF(Data!D71="","",Data!D71)</f>
        <v>0</v>
      </c>
    </row>
    <row r="3" spans="1:251" ht="15.75">
      <c r="A3" s="519" t="s">
        <v>798</v>
      </c>
      <c r="B3" s="493"/>
      <c r="C3" s="493"/>
      <c r="D3" s="493"/>
      <c r="E3" s="493"/>
      <c r="F3" s="493"/>
      <c r="G3" s="493"/>
      <c r="H3" s="493"/>
      <c r="I3" s="579"/>
      <c r="J3" s="493"/>
      <c r="K3" s="493"/>
      <c r="O3" s="4"/>
      <c r="IQ3" s="13">
        <f>IF(Data!D72="","",Data!D72)</f>
        <v>0</v>
      </c>
    </row>
    <row r="4" spans="1:251" ht="12.75">
      <c r="A4" s="493"/>
      <c r="B4" s="493"/>
      <c r="C4" s="493"/>
      <c r="D4" s="493"/>
      <c r="I4" s="544"/>
      <c r="J4" s="567"/>
      <c r="K4" s="493"/>
      <c r="O4" s="4"/>
      <c r="IQ4" s="13"/>
    </row>
    <row r="5" spans="1:251" ht="15.75">
      <c r="A5" s="493" t="s">
        <v>1016</v>
      </c>
      <c r="B5" s="524">
        <f>IF(Input!E14="","",Input!E14)</f>
      </c>
      <c r="C5" s="525"/>
      <c r="D5" s="1012" t="s">
        <v>1297</v>
      </c>
      <c r="G5" s="1012" t="s">
        <v>1298</v>
      </c>
      <c r="H5" s="1013"/>
      <c r="I5" s="567" t="str">
        <f>IF(Input!$B$6="","",IF(Input!$B$6="E","in.",IF(Input!$B$6="M","mm")))</f>
        <v>in.</v>
      </c>
      <c r="J5" s="493"/>
      <c r="K5" s="493"/>
      <c r="O5" s="4"/>
      <c r="IQ5" s="13"/>
    </row>
    <row r="6" spans="1:251" ht="15.75">
      <c r="A6" s="581"/>
      <c r="B6" s="534"/>
      <c r="C6" s="523"/>
      <c r="D6" s="1012" t="s">
        <v>1299</v>
      </c>
      <c r="E6" s="606"/>
      <c r="F6" s="545"/>
      <c r="G6" s="1012" t="s">
        <v>1300</v>
      </c>
      <c r="H6" s="1014"/>
      <c r="I6" s="567" t="str">
        <f>IF(Input!$B$6="","",IF(Input!$B$6="E","psi",IF(Input!$B$6="M","kPA")))</f>
        <v>psi</v>
      </c>
      <c r="J6" s="493"/>
      <c r="K6" s="493"/>
      <c r="O6" s="4"/>
      <c r="IQ6" s="13"/>
    </row>
    <row r="7" spans="1:251" ht="15.75">
      <c r="A7" s="582" t="s">
        <v>799</v>
      </c>
      <c r="B7" s="522"/>
      <c r="C7" s="493"/>
      <c r="D7" s="344" t="s">
        <v>1301</v>
      </c>
      <c r="G7" s="1012" t="s">
        <v>1302</v>
      </c>
      <c r="H7" s="1014"/>
      <c r="I7" s="567" t="str">
        <f>IF(Input!$B$6="","",IF(Input!$B$6="E","sq. in.",IF(Input!$B$6="M","sq. mm")))</f>
        <v>sq. in.</v>
      </c>
      <c r="J7" s="567"/>
      <c r="K7" s="493"/>
      <c r="O7" s="4"/>
      <c r="IQ7" s="13">
        <f>IF(Data!D73="","",Data!D73)</f>
        <v>0</v>
      </c>
    </row>
    <row r="8" spans="1:251" ht="15.75">
      <c r="A8" s="526" t="s">
        <v>1099</v>
      </c>
      <c r="B8" s="511">
        <f>+'Setup Bm Input'!F34</f>
        <v>0</v>
      </c>
      <c r="C8" s="493"/>
      <c r="D8" s="344" t="s">
        <v>1100</v>
      </c>
      <c r="E8" s="1015">
        <f>IF(E6="","",E6*(H8/H7)*(H5/H6))</f>
      </c>
      <c r="F8" s="567" t="str">
        <f>IF(Input!$B$6="","",IF(Input!$B$6="E","in.",IF(Input!$B$6="M","mm")))</f>
        <v>in.</v>
      </c>
      <c r="G8" s="1012" t="s">
        <v>1303</v>
      </c>
      <c r="H8" s="1016">
        <f>'Setup Bm Input'!$B$29*'Setup Bm Input'!$B$48</f>
        <v>0</v>
      </c>
      <c r="I8" s="567" t="str">
        <f>IF(Input!$B$6="","",IF(Input!$B$6="E","lbs.",IF(Input!$B$6="M","N")))</f>
        <v>lbs.</v>
      </c>
      <c r="J8" s="493"/>
      <c r="K8" s="493"/>
      <c r="IQ8" s="13">
        <f>IF(Data!D74="","",Data!D74)</f>
        <v>0</v>
      </c>
    </row>
    <row r="9" spans="1:251" ht="12.75">
      <c r="A9" s="583" t="s">
        <v>1061</v>
      </c>
      <c r="B9" s="543"/>
      <c r="C9" s="493"/>
      <c r="J9" s="567"/>
      <c r="K9" s="493"/>
      <c r="IQ9" s="13">
        <f>IF(Data!D75="","",Data!D75)</f>
        <v>0</v>
      </c>
    </row>
    <row r="10" spans="1:251" ht="15.75">
      <c r="A10" s="493"/>
      <c r="C10" s="586" t="s">
        <v>1304</v>
      </c>
      <c r="D10" s="493"/>
      <c r="H10" s="493"/>
      <c r="I10" s="493"/>
      <c r="J10" s="493"/>
      <c r="K10" s="493"/>
      <c r="IQ10" s="13">
        <f>IF(Data!D76="","",Data!D76)</f>
        <v>0</v>
      </c>
    </row>
    <row r="11" spans="1:251" ht="15.75">
      <c r="A11" s="545"/>
      <c r="C11" s="528" t="s">
        <v>1305</v>
      </c>
      <c r="D11" s="493"/>
      <c r="E11" s="493"/>
      <c r="F11" s="494" t="s">
        <v>1306</v>
      </c>
      <c r="G11" s="585"/>
      <c r="H11" s="586"/>
      <c r="I11" s="493"/>
      <c r="J11" s="567"/>
      <c r="K11" s="493"/>
      <c r="IQ11" s="13">
        <f>IF(Data!D77="","",Data!D77)</f>
        <v>0</v>
      </c>
    </row>
    <row r="12" spans="1:251" ht="15.75">
      <c r="A12" s="587" t="s">
        <v>100</v>
      </c>
      <c r="C12" s="494" t="s">
        <v>1307</v>
      </c>
      <c r="D12" s="503"/>
      <c r="E12" s="503"/>
      <c r="F12" s="70" t="s">
        <v>1308</v>
      </c>
      <c r="G12" s="503"/>
      <c r="H12" s="503"/>
      <c r="I12" s="503"/>
      <c r="J12" s="503"/>
      <c r="K12" s="503"/>
      <c r="IQ12" s="13"/>
    </row>
    <row r="13" spans="1:251" ht="4.5" customHeight="1">
      <c r="A13" s="495"/>
      <c r="B13" s="495"/>
      <c r="C13" s="495"/>
      <c r="D13" s="495"/>
      <c r="E13" s="495"/>
      <c r="F13" s="495"/>
      <c r="G13" s="495"/>
      <c r="H13" s="495"/>
      <c r="I13" s="495"/>
      <c r="J13" s="495"/>
      <c r="K13" s="495"/>
      <c r="O13" s="40" t="s">
        <v>1055</v>
      </c>
      <c r="IQ13" s="13"/>
    </row>
    <row r="14" spans="1:251" ht="12.75">
      <c r="A14" s="494" t="s">
        <v>800</v>
      </c>
      <c r="B14" s="588"/>
      <c r="C14" s="588"/>
      <c r="D14" s="588"/>
      <c r="E14" s="588"/>
      <c r="F14" s="588"/>
      <c r="G14" s="588"/>
      <c r="H14" s="588"/>
      <c r="I14" s="588"/>
      <c r="J14" s="7" t="s">
        <v>1310</v>
      </c>
      <c r="K14" s="588"/>
      <c r="O14" s="40" t="s">
        <v>1056</v>
      </c>
      <c r="IQ14" s="13"/>
    </row>
    <row r="15" spans="1:251" ht="15.75">
      <c r="A15" s="1025" t="s">
        <v>84</v>
      </c>
      <c r="B15" s="1026"/>
      <c r="C15" s="1026"/>
      <c r="D15" s="1026"/>
      <c r="E15" s="1026"/>
      <c r="F15" s="1026"/>
      <c r="G15" s="1026"/>
      <c r="H15" s="1026"/>
      <c r="I15" s="1026"/>
      <c r="J15" s="1026"/>
      <c r="K15" s="1026"/>
      <c r="IQ15" s="13"/>
    </row>
    <row r="16" spans="1:251" ht="12.75">
      <c r="A16" s="1027" t="s">
        <v>101</v>
      </c>
      <c r="B16" s="1026"/>
      <c r="C16" s="1026"/>
      <c r="D16" s="1026"/>
      <c r="E16" s="1026"/>
      <c r="F16" s="1026"/>
      <c r="G16" s="1026"/>
      <c r="H16" s="1026"/>
      <c r="I16" s="1026"/>
      <c r="J16" s="1026"/>
      <c r="K16" s="1026"/>
      <c r="IQ16" s="13"/>
    </row>
    <row r="17" spans="1:251" ht="12.75">
      <c r="A17" s="1027" t="s">
        <v>102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IQ17" s="13"/>
    </row>
    <row r="18" spans="1:251" ht="12.75">
      <c r="A18" s="1030" t="s">
        <v>813</v>
      </c>
      <c r="B18" s="1026"/>
      <c r="C18" s="1026"/>
      <c r="D18" s="1026"/>
      <c r="E18" s="1026"/>
      <c r="F18" s="1026"/>
      <c r="G18" s="1026"/>
      <c r="H18" s="1026"/>
      <c r="I18" s="1026"/>
      <c r="J18" s="1026"/>
      <c r="K18" s="1026"/>
      <c r="IQ18" s="13"/>
    </row>
    <row r="19" spans="1:251" ht="19.5" customHeight="1">
      <c r="A19" s="496" t="s">
        <v>1003</v>
      </c>
      <c r="B19" s="497">
        <f>IF(Input!$B$7="","",Input!$B$7)</f>
      </c>
      <c r="C19" s="498"/>
      <c r="D19" s="1020" t="s">
        <v>107</v>
      </c>
      <c r="E19" s="500">
        <v>1</v>
      </c>
      <c r="F19" s="501">
        <f>IF(Input!$C$64="","",Input!$C$64)</f>
      </c>
      <c r="G19" s="500">
        <v>5</v>
      </c>
      <c r="H19" s="501">
        <f>IF(Input!$E$64="","",Input!$E$64)</f>
      </c>
      <c r="I19" s="502" t="s">
        <v>560</v>
      </c>
      <c r="J19" s="607"/>
      <c r="K19" s="503"/>
      <c r="IQ19" s="13">
        <f>IF(Data!D78="","",Data!D78)</f>
        <v>0</v>
      </c>
    </row>
    <row r="20" spans="1:251" ht="19.5" customHeight="1">
      <c r="A20" s="496" t="s">
        <v>103</v>
      </c>
      <c r="B20" s="497">
        <f>IF(Input!$B$8="","",Input!$B$8)</f>
      </c>
      <c r="C20" s="498"/>
      <c r="D20" s="1021"/>
      <c r="E20" s="500">
        <v>2</v>
      </c>
      <c r="F20" s="501">
        <f>IF(Input!$C$65="","",Input!$C$65)</f>
      </c>
      <c r="G20" s="500">
        <v>6</v>
      </c>
      <c r="H20" s="501">
        <f>IF(Input!$E$65="","",Input!$E$65)</f>
      </c>
      <c r="I20" s="505" t="s">
        <v>50</v>
      </c>
      <c r="J20" s="506">
        <f ca="1">TODAY()</f>
        <v>40878</v>
      </c>
      <c r="K20" s="503"/>
      <c r="IQ20" s="13">
        <f>IF(Data!D79="","",Data!D79)</f>
        <v>0</v>
      </c>
    </row>
    <row r="21" spans="1:251" ht="19.5" customHeight="1">
      <c r="A21" s="496" t="s">
        <v>1041</v>
      </c>
      <c r="B21" s="497">
        <f>IF(Input!$B$10="","",Input!$B$10)</f>
      </c>
      <c r="C21" s="498"/>
      <c r="D21" s="1021"/>
      <c r="E21" s="500">
        <v>3</v>
      </c>
      <c r="F21" s="501">
        <f>IF(Input!$C$66="","",Input!$C$66)</f>
      </c>
      <c r="G21" s="500">
        <v>7</v>
      </c>
      <c r="H21" s="501">
        <f>IF(Input!$E$66="","",Input!$E$66)</f>
      </c>
      <c r="I21" s="496" t="s">
        <v>1034</v>
      </c>
      <c r="J21" s="507">
        <f>IF(Input!$B$30="","",Input!$B$30)</f>
      </c>
      <c r="K21" s="508"/>
      <c r="IQ21" s="13">
        <f>IF(Data!D80="","",Data!D80)</f>
        <v>0</v>
      </c>
    </row>
    <row r="22" spans="1:251" ht="19.5" customHeight="1">
      <c r="A22" s="496" t="s">
        <v>1004</v>
      </c>
      <c r="B22" s="497">
        <f>IF(Input!$E$5="","",Input!$E$5)</f>
      </c>
      <c r="C22" s="498"/>
      <c r="D22" s="1022"/>
      <c r="E22" s="500">
        <v>4</v>
      </c>
      <c r="F22" s="501">
        <f>IF(Input!$C$67="","",Input!$C$67)</f>
      </c>
      <c r="G22" s="500">
        <v>8</v>
      </c>
      <c r="H22" s="501">
        <f>IF(Input!$E$67="","",Input!$E$67)</f>
      </c>
      <c r="I22" s="496" t="s">
        <v>1035</v>
      </c>
      <c r="J22" s="507">
        <f>IF(Input!$B$31="","",Input!$B$31)</f>
      </c>
      <c r="K22" s="508"/>
      <c r="IQ22" s="13">
        <f>IF(Data!D81="","",Data!D81)</f>
        <v>0</v>
      </c>
    </row>
    <row r="23" spans="1:251" ht="19.5" customHeight="1">
      <c r="A23" s="510" t="s">
        <v>49</v>
      </c>
      <c r="B23" s="497">
        <f>IF(Input!$E$6="","",Input!$E$6)</f>
      </c>
      <c r="C23" s="498"/>
      <c r="D23" s="496" t="s">
        <v>1017</v>
      </c>
      <c r="E23" s="511">
        <f>IF(Input!$B$68="","",Input!$B$68)</f>
      </c>
      <c r="F23" s="512"/>
      <c r="G23" s="512"/>
      <c r="H23" s="512"/>
      <c r="I23" s="496" t="s">
        <v>1030</v>
      </c>
      <c r="J23" s="507">
        <f>IF(Input!$B$32="","",Input!$B$32)</f>
      </c>
      <c r="K23" s="508"/>
      <c r="IQ23" s="13">
        <f>IF(Data!D82="","",Data!D82)</f>
        <v>0</v>
      </c>
    </row>
    <row r="24" spans="1:251" ht="19.5" customHeight="1">
      <c r="A24" s="510" t="s">
        <v>106</v>
      </c>
      <c r="B24" s="497">
        <f>IF(Input!$E$7="","",Input!$E$7)</f>
      </c>
      <c r="C24" s="498"/>
      <c r="D24" s="496" t="s">
        <v>1018</v>
      </c>
      <c r="E24" s="511">
        <f>IF(Input!$B$69="","",Input!$B$69)</f>
      </c>
      <c r="F24" s="512"/>
      <c r="G24" s="512"/>
      <c r="H24" s="512"/>
      <c r="I24" s="496" t="s">
        <v>1036</v>
      </c>
      <c r="J24" s="507">
        <f>IF(Input!$B$33="","",Input!$B$33)</f>
      </c>
      <c r="K24" s="508"/>
      <c r="IQ24" s="13">
        <f>IF(Data!D83="","",Data!D83)</f>
        <v>0</v>
      </c>
    </row>
    <row r="25" spans="1:251" ht="19.5" customHeight="1">
      <c r="A25" s="510" t="s">
        <v>48</v>
      </c>
      <c r="B25" s="497">
        <f>IF(Input!$E$8="","",Input!$E$8)</f>
      </c>
      <c r="C25" s="498"/>
      <c r="D25" s="496" t="s">
        <v>1019</v>
      </c>
      <c r="E25" s="511">
        <f>IF(Input!$B$70="","",Input!$B$70)</f>
      </c>
      <c r="F25" s="512"/>
      <c r="G25" s="512"/>
      <c r="H25" s="512"/>
      <c r="I25" s="496" t="s">
        <v>1033</v>
      </c>
      <c r="J25" s="507">
        <f>IF(Input!$B$34="","",Input!$B$34)</f>
      </c>
      <c r="K25" s="508"/>
      <c r="IQ25" s="13">
        <f>IF(Data!D84="","",Data!D84)</f>
        <v>0</v>
      </c>
    </row>
    <row r="26" spans="1:251" ht="19.5" customHeight="1">
      <c r="A26" s="496" t="s">
        <v>1039</v>
      </c>
      <c r="B26" s="497">
        <f>IF(Input!$B$37="","",Input!$B$37)</f>
      </c>
      <c r="C26" s="498"/>
      <c r="D26" s="496" t="s">
        <v>1020</v>
      </c>
      <c r="E26" s="511">
        <f>IF(Input!$B$71="","",Input!$B$71)</f>
      </c>
      <c r="F26" s="512"/>
      <c r="G26" s="512"/>
      <c r="H26" s="512"/>
      <c r="I26" s="496" t="s">
        <v>1037</v>
      </c>
      <c r="J26" s="507">
        <f>IF(Input!$B$35="","",Input!$B$35)</f>
      </c>
      <c r="K26" s="50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IQ26" s="13">
        <f>IF(Data!D86="","",Data!D86)</f>
        <v>0</v>
      </c>
    </row>
    <row r="27" spans="1:251" ht="19.5" customHeight="1">
      <c r="A27" s="496" t="s">
        <v>98</v>
      </c>
      <c r="B27" s="573"/>
      <c r="C27" s="574"/>
      <c r="D27" s="496" t="s">
        <v>1021</v>
      </c>
      <c r="E27" s="511">
        <f>IF(Input!$B$72="","",Input!$B$72)</f>
      </c>
      <c r="F27" s="512"/>
      <c r="G27" s="512"/>
      <c r="H27" s="512"/>
      <c r="I27" s="496" t="s">
        <v>1038</v>
      </c>
      <c r="J27" s="507">
        <f>IF(Input!$B$36="","",Input!$B$36)</f>
      </c>
      <c r="K27" s="50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IQ27" s="13">
        <f>IF(Data!D87="","",Data!D87)</f>
        <v>0</v>
      </c>
    </row>
    <row r="28" spans="1:251" ht="19.5" customHeight="1">
      <c r="A28" s="496" t="s">
        <v>104</v>
      </c>
      <c r="B28" s="497">
        <f>IF(Input!$B$9="","",Input!$B$9)</f>
      </c>
      <c r="C28" s="498"/>
      <c r="D28" s="496" t="s">
        <v>1022</v>
      </c>
      <c r="E28" s="511">
        <f>IF(Input!$B$73="","",Input!$B$73)</f>
      </c>
      <c r="F28" s="512"/>
      <c r="G28" s="512"/>
      <c r="H28" s="512"/>
      <c r="I28" s="513"/>
      <c r="J28" s="514"/>
      <c r="K28" s="51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IQ28" s="13">
        <f>IF(Data!D88="","",Data!D88)</f>
        <v>0</v>
      </c>
    </row>
    <row r="29" spans="1:251" ht="19.5" customHeight="1">
      <c r="A29" s="496" t="s">
        <v>105</v>
      </c>
      <c r="B29" s="516">
        <f>'Setup Bm Input'!$B$34</f>
      </c>
      <c r="C29" s="498" t="str">
        <f>IF(Input!$B$6="","",IF(Input!$B$6="E","in.",IF(Input!$B$6="M","mm")))</f>
        <v>in.</v>
      </c>
      <c r="D29" s="496" t="s">
        <v>1024</v>
      </c>
      <c r="E29" s="511">
        <f>IF('Setup Bm Input'!$A$46="","",'Setup Bm Input'!$A$46)</f>
      </c>
      <c r="F29" s="512"/>
      <c r="G29" s="512"/>
      <c r="H29" s="512"/>
      <c r="I29" s="517"/>
      <c r="J29" s="518"/>
      <c r="K29" s="51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IQ29" s="13">
        <f>IF(Data!D89="","",Data!D89)</f>
        <v>0</v>
      </c>
    </row>
    <row r="30" spans="1:251" ht="19.5" customHeight="1">
      <c r="A30" s="589"/>
      <c r="B30" s="590"/>
      <c r="C30" s="590"/>
      <c r="D30" s="589"/>
      <c r="E30" s="591"/>
      <c r="F30" s="512"/>
      <c r="G30" s="512"/>
      <c r="H30" s="512"/>
      <c r="I30" s="517"/>
      <c r="J30" s="518"/>
      <c r="K30" s="51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IQ30" s="13">
        <f>IF(Data!D90="","",Data!D90)</f>
        <v>0</v>
      </c>
    </row>
    <row r="31" spans="1:251" ht="12.75">
      <c r="A31" s="503"/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IQ31" s="13">
        <f>IF(Data!D91="","",Data!D91)</f>
        <v>0</v>
      </c>
    </row>
    <row r="32" spans="1:251" ht="12.75">
      <c r="A32" s="1031" t="s">
        <v>108</v>
      </c>
      <c r="B32" s="1032"/>
      <c r="C32" s="1032"/>
      <c r="D32" s="1032"/>
      <c r="E32" s="1032"/>
      <c r="F32" s="1032"/>
      <c r="G32" s="1032"/>
      <c r="H32" s="1032"/>
      <c r="I32" s="1032"/>
      <c r="J32" s="1032"/>
      <c r="K32" s="103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IQ32" s="13">
        <f>IF(Data!D92="","",Data!D92)</f>
        <v>0</v>
      </c>
    </row>
    <row r="33" spans="1:251" ht="15.75">
      <c r="A33" s="503"/>
      <c r="B33" s="494" t="s">
        <v>807</v>
      </c>
      <c r="C33" s="503"/>
      <c r="D33" s="503"/>
      <c r="E33" s="503"/>
      <c r="F33" s="494" t="s">
        <v>809</v>
      </c>
      <c r="G33" s="503"/>
      <c r="H33" s="494"/>
      <c r="I33" s="503"/>
      <c r="J33" s="503"/>
      <c r="K33" s="50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IQ33" s="13">
        <f>IF(Data!D93="","",Data!D93)</f>
        <v>0</v>
      </c>
    </row>
    <row r="34" spans="1:251" ht="15.75">
      <c r="A34" s="503"/>
      <c r="B34" s="494" t="s">
        <v>808</v>
      </c>
      <c r="C34" s="493"/>
      <c r="D34" s="503"/>
      <c r="E34" s="503"/>
      <c r="F34" s="494" t="s">
        <v>1096</v>
      </c>
      <c r="G34" s="503"/>
      <c r="H34" s="494"/>
      <c r="I34" s="493"/>
      <c r="J34" s="493"/>
      <c r="K34" s="49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IQ34" s="13">
        <f>IF(Data!D94="","",Data!D94)</f>
        <v>0</v>
      </c>
    </row>
    <row r="35" spans="1:251" ht="15.75">
      <c r="A35" s="503"/>
      <c r="B35" s="494" t="s">
        <v>1094</v>
      </c>
      <c r="C35" s="503"/>
      <c r="D35" s="503"/>
      <c r="E35" s="503"/>
      <c r="F35" s="494" t="s">
        <v>1097</v>
      </c>
      <c r="G35" s="503"/>
      <c r="H35" s="494"/>
      <c r="I35" s="493"/>
      <c r="J35" s="493"/>
      <c r="K35" s="49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IQ35" s="13">
        <f>IF(Data!D95="","",Data!D95)</f>
        <v>0</v>
      </c>
    </row>
    <row r="36" spans="1:251" ht="15.75">
      <c r="A36" s="503"/>
      <c r="B36" s="494" t="s">
        <v>1101</v>
      </c>
      <c r="C36" s="503"/>
      <c r="D36" s="503"/>
      <c r="E36" s="503"/>
      <c r="F36" s="494" t="s">
        <v>1098</v>
      </c>
      <c r="G36" s="503"/>
      <c r="H36" s="494"/>
      <c r="I36" s="493"/>
      <c r="J36" s="493"/>
      <c r="K36" s="49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IQ36" s="13">
        <f>IF(Data!D96="","",Data!D96)</f>
        <v>0</v>
      </c>
    </row>
    <row r="37" spans="1:251" ht="12.75">
      <c r="A37" s="503"/>
      <c r="B37" s="528"/>
      <c r="C37" s="503"/>
      <c r="D37" s="503"/>
      <c r="E37" s="503"/>
      <c r="F37" s="503"/>
      <c r="G37" s="503"/>
      <c r="H37" s="494"/>
      <c r="I37" s="493"/>
      <c r="J37" s="493"/>
      <c r="K37" s="49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IQ37" s="13">
        <f>IF(Data!D97="","",Data!D97)</f>
        <v>0</v>
      </c>
    </row>
    <row r="38" spans="1:251" ht="12.75">
      <c r="A38" s="592"/>
      <c r="B38" s="493"/>
      <c r="C38" s="592"/>
      <c r="D38" s="592"/>
      <c r="E38" s="592"/>
      <c r="F38" s="592"/>
      <c r="G38" s="592"/>
      <c r="H38" s="592"/>
      <c r="I38" s="592"/>
      <c r="J38" s="592"/>
      <c r="K38" s="59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IQ38" s="13">
        <f>IF(Data!D98="","",Data!D98)</f>
        <v>0</v>
      </c>
    </row>
    <row r="39" spans="1:251" ht="12.75">
      <c r="A39" s="1033" t="s">
        <v>801</v>
      </c>
      <c r="B39" s="1034"/>
      <c r="C39" s="1034"/>
      <c r="D39" s="1034"/>
      <c r="E39" s="1034"/>
      <c r="F39" s="1034"/>
      <c r="G39" s="1034"/>
      <c r="H39" s="1034"/>
      <c r="I39" s="1034"/>
      <c r="J39" s="1034"/>
      <c r="K39" s="103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IQ39" s="13">
        <f>IF(Data!D99="","",Data!D99)</f>
        <v>0</v>
      </c>
    </row>
    <row r="40" spans="1:251" ht="12.75">
      <c r="A40" s="1028"/>
      <c r="B40" s="1029"/>
      <c r="C40" s="1029"/>
      <c r="D40" s="1029"/>
      <c r="E40" s="1029"/>
      <c r="F40" s="1029"/>
      <c r="G40" s="1029"/>
      <c r="H40" s="1029"/>
      <c r="I40" s="1029"/>
      <c r="J40" s="1029"/>
      <c r="K40" s="102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IQ40" s="13">
        <f>IF(Data!D100="","",Data!D100)</f>
        <v>0</v>
      </c>
    </row>
    <row r="41" spans="1:251" ht="15.75">
      <c r="A41" s="493"/>
      <c r="B41" s="255" t="s">
        <v>1078</v>
      </c>
      <c r="C41" s="344" t="s">
        <v>1103</v>
      </c>
      <c r="D41" s="255" t="s">
        <v>1102</v>
      </c>
      <c r="E41" s="567" t="str">
        <f>IF(Input!$B$6="","",IF(Input!$B$6="E","in.",IF(Input!$B$6="M","mm")))</f>
        <v>in.</v>
      </c>
      <c r="F41" s="494" t="s">
        <v>1086</v>
      </c>
      <c r="G41" s="344" t="s">
        <v>1105</v>
      </c>
      <c r="H41" s="70" t="s">
        <v>1106</v>
      </c>
      <c r="I41" s="567" t="str">
        <f>IF(Input!$B$6="","",IF(Input!$B$6="E","lbs.",IF(Input!$B$6="M","N")))</f>
        <v>lbs.</v>
      </c>
      <c r="J41" s="593"/>
      <c r="K41" s="59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IQ41" s="13">
        <f>IF(Data!D101="","",Data!D101)</f>
        <v>0</v>
      </c>
    </row>
    <row r="42" spans="1:251" ht="12.75">
      <c r="A42" s="493"/>
      <c r="B42" s="512"/>
      <c r="C42" s="493"/>
      <c r="D42" s="255"/>
      <c r="E42" s="593"/>
      <c r="F42" s="70" t="s">
        <v>1061</v>
      </c>
      <c r="G42" s="593"/>
      <c r="H42" s="593"/>
      <c r="I42" s="545"/>
      <c r="J42" s="545"/>
      <c r="K42" s="54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IQ42" s="13">
        <f>IF(Data!D102="","",Data!D102)</f>
        <v>0</v>
      </c>
    </row>
    <row r="43" spans="1:251" ht="12.75">
      <c r="A43" s="493"/>
      <c r="B43" s="255" t="s">
        <v>1079</v>
      </c>
      <c r="C43" s="493"/>
      <c r="D43" s="255"/>
      <c r="E43" s="593"/>
      <c r="F43" s="528" t="s">
        <v>1083</v>
      </c>
      <c r="G43" s="593"/>
      <c r="H43" s="593"/>
      <c r="I43" s="545"/>
      <c r="J43" s="545"/>
      <c r="K43" s="545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IQ43" s="13">
        <f>IF(Data!D103="","",Data!D103)</f>
        <v>0</v>
      </c>
    </row>
    <row r="44" spans="1:251" ht="15.75">
      <c r="A44" s="493"/>
      <c r="B44" s="255" t="s">
        <v>1077</v>
      </c>
      <c r="C44" s="344" t="s">
        <v>1107</v>
      </c>
      <c r="D44" s="255" t="s">
        <v>1104</v>
      </c>
      <c r="E44" s="567" t="str">
        <f>IF(Input!$B$6="","",IF(Input!$B$6="E","in.",IF(Input!$B$6="M","mm")))</f>
        <v>in.</v>
      </c>
      <c r="F44" s="528"/>
      <c r="G44" s="593"/>
      <c r="H44" s="593"/>
      <c r="I44" s="545"/>
      <c r="J44" s="545"/>
      <c r="K44" s="54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IQ44" s="13">
        <f>IF(Data!D104="","",Data!D104)</f>
        <v>0</v>
      </c>
    </row>
    <row r="45" spans="1:251" ht="12.75">
      <c r="A45" s="493"/>
      <c r="B45" s="255" t="s">
        <v>112</v>
      </c>
      <c r="C45" s="493"/>
      <c r="D45" s="255"/>
      <c r="E45" s="593"/>
      <c r="F45" s="593"/>
      <c r="G45" s="593"/>
      <c r="H45" s="593"/>
      <c r="I45" s="545"/>
      <c r="J45" s="545"/>
      <c r="K45" s="545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IQ45" s="13">
        <f>IF(Data!D105="","",Data!D105)</f>
        <v>0</v>
      </c>
    </row>
    <row r="46" spans="1:251" ht="12.75">
      <c r="A46" s="593"/>
      <c r="B46" s="545"/>
      <c r="C46" s="593"/>
      <c r="D46" s="593"/>
      <c r="E46" s="593"/>
      <c r="F46" s="593"/>
      <c r="G46" s="593"/>
      <c r="H46" s="593"/>
      <c r="I46" s="593"/>
      <c r="J46" s="593"/>
      <c r="K46" s="59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IQ46" s="13">
        <f>IF(Data!D106="","",Data!D106)</f>
        <v>0</v>
      </c>
    </row>
    <row r="47" spans="1:251" ht="15.75">
      <c r="A47" s="493"/>
      <c r="B47" s="344" t="s">
        <v>1111</v>
      </c>
      <c r="C47" s="594">
        <f>+IF('Setup Bm Input'!B48="","",'Setup Bm Input'!B48)</f>
      </c>
      <c r="D47" s="493"/>
      <c r="E47" s="595" t="s">
        <v>1113</v>
      </c>
      <c r="F47" s="560">
        <f>+'Setup Bm Input'!B34</f>
      </c>
      <c r="G47" s="567" t="str">
        <f>IF(Input!$B$6="","",IF(Input!$B$6="E","in.",IF(Input!$B$6="M","mm")))</f>
        <v>in.</v>
      </c>
      <c r="H47" s="493"/>
      <c r="I47" s="493"/>
      <c r="J47" s="493"/>
      <c r="K47" s="49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IQ47" s="13">
        <f>IF(Data!D107="","",Data!D107)</f>
        <v>0</v>
      </c>
    </row>
    <row r="48" spans="1:251" ht="12.75">
      <c r="A48" s="493"/>
      <c r="B48" s="493"/>
      <c r="C48" s="608"/>
      <c r="D48" s="493"/>
      <c r="E48" s="493"/>
      <c r="F48" s="493"/>
      <c r="G48" s="493"/>
      <c r="H48" s="493"/>
      <c r="I48" s="493"/>
      <c r="J48" s="493"/>
      <c r="K48" s="49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IQ48" s="13">
        <f>IF(Data!D108="","",Data!D108)</f>
        <v>0</v>
      </c>
    </row>
    <row r="49" spans="1:251" ht="15.75">
      <c r="A49" s="493"/>
      <c r="B49" s="344" t="s">
        <v>1114</v>
      </c>
      <c r="C49" s="596">
        <f>IF($B$8="Yes",$E$8,0)</f>
        <v>0</v>
      </c>
      <c r="D49" s="567" t="str">
        <f>IF(Input!$B$6="","",IF(Input!$B$6="E","in.",IF(Input!$B$6="M","mm")))</f>
        <v>in.</v>
      </c>
      <c r="E49" s="493"/>
      <c r="F49" s="493"/>
      <c r="G49" s="493"/>
      <c r="H49" s="493"/>
      <c r="I49" s="493"/>
      <c r="J49" s="493"/>
      <c r="K49" s="49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IQ49" s="13">
        <f>IF(Data!D109="","",Data!D109)</f>
        <v>0</v>
      </c>
    </row>
    <row r="50" spans="1:251" ht="12.75">
      <c r="A50" s="493"/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IQ50" s="13">
        <f>IF(Data!D110="","",Data!D110)</f>
        <v>0</v>
      </c>
    </row>
    <row r="51" spans="1:32" ht="12.75">
      <c r="A51" s="493"/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.75">
      <c r="A52" s="530"/>
      <c r="B52" s="597"/>
      <c r="C52" s="597"/>
      <c r="D52" s="597"/>
      <c r="E52" s="597"/>
      <c r="F52" s="597"/>
      <c r="G52" s="559" t="s">
        <v>1122</v>
      </c>
      <c r="H52" s="559" t="s">
        <v>1123</v>
      </c>
      <c r="I52" s="530"/>
      <c r="J52" s="530"/>
      <c r="K52" s="53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.75">
      <c r="A53" s="597"/>
      <c r="B53" s="493"/>
      <c r="C53" s="493"/>
      <c r="D53" s="493"/>
      <c r="E53" s="493"/>
      <c r="F53" s="493"/>
      <c r="G53" s="598" t="s">
        <v>1109</v>
      </c>
      <c r="H53" s="599" t="s">
        <v>1065</v>
      </c>
      <c r="I53" s="530"/>
      <c r="J53" s="530"/>
      <c r="K53" s="53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.75">
      <c r="A54" s="530"/>
      <c r="B54" s="493"/>
      <c r="C54" s="493"/>
      <c r="D54" s="493"/>
      <c r="E54" s="559" t="s">
        <v>1080</v>
      </c>
      <c r="F54" s="559" t="s">
        <v>1081</v>
      </c>
      <c r="G54" s="600" t="s">
        <v>1064</v>
      </c>
      <c r="H54" s="600" t="s">
        <v>1064</v>
      </c>
      <c r="I54" s="597"/>
      <c r="J54" s="597"/>
      <c r="K54" s="59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.75">
      <c r="A55" s="493"/>
      <c r="B55" s="493"/>
      <c r="C55" s="601" t="s">
        <v>113</v>
      </c>
      <c r="D55" s="560" t="s">
        <v>115</v>
      </c>
      <c r="E55" s="560" t="str">
        <f>IF(Input!$B$6="","",IF(Input!$B$6="E","Area (sq. in.)",IF(Input!$B$6="M","Area (sq. mm)")))</f>
        <v>Area (sq. in.)</v>
      </c>
      <c r="F55" s="602" t="str">
        <f>IF(Input!$B$6="","",IF(Input!$B$6="E","Mod. El. (psi)",IF(Input!$B$6="M","Mod. El. (kPA)")))</f>
        <v>Mod. El. (psi)</v>
      </c>
      <c r="G55" s="603" t="str">
        <f>IF(Input!$B$6="","",IF(Input!$B$6="E","Strand (in.)",IF(Input!$B$6="M","Strand (mm)")))</f>
        <v>Strand (in.)</v>
      </c>
      <c r="H55" s="600" t="str">
        <f>IF(Input!$B$6="","",IF(Input!$B$6="E","Strand (lbs.)",IF(Input!$B$6="M","Strand (N)")))</f>
        <v>Strand (lbs.)</v>
      </c>
      <c r="I55" s="567"/>
      <c r="J55" s="530"/>
      <c r="K55" s="53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.75">
      <c r="A56" s="493"/>
      <c r="B56" s="493"/>
      <c r="C56" s="560" t="s">
        <v>90</v>
      </c>
      <c r="D56" s="594">
        <f>+IF('Setup Bm Input'!B63="","",'Setup Bm Input'!B63)</f>
      </c>
      <c r="E56" s="594">
        <f>+IF('Setup Bm Input'!D63="","",'Setup Bm Input'!D63)</f>
      </c>
      <c r="F56" s="594">
        <f>+IF('Setup Bm Input'!E63="","",'Setup Bm Input'!E63)</f>
      </c>
      <c r="G56" s="596">
        <f>IF(E56="","",IF($B$8="Yes",$E$8/'Setup Bm Input'!$B$48+$E$8/2,""))</f>
      </c>
      <c r="H56" s="605">
        <f>+IF(G56="","",IF($B$8="Yes",IF(Input!$B$6="E",G56/'Setup Bm Input'!$B$34*'Self Stress'!F56*'Self Stress'!E56,G56/'Setup Bm Input'!$B$34*'Self Stress'!F56*'Self Stress'!E56/1000),""))</f>
      </c>
      <c r="I56" s="567"/>
      <c r="J56" s="530"/>
      <c r="K56" s="53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2.75">
      <c r="A57" s="493"/>
      <c r="B57" s="493"/>
      <c r="C57" s="560" t="s">
        <v>91</v>
      </c>
      <c r="D57" s="594">
        <f>+IF('Setup Bm Input'!B64="","",'Setup Bm Input'!B64)</f>
      </c>
      <c r="E57" s="594">
        <f>+IF('Setup Bm Input'!D64="","",'Setup Bm Input'!D64)</f>
      </c>
      <c r="F57" s="594">
        <f>+IF('Setup Bm Input'!E64="","",'Setup Bm Input'!E64)</f>
      </c>
      <c r="G57" s="596">
        <f>IF(E57="","",IF($B$8="Yes",$E$8/'Setup Bm Input'!$B$48+$E$8/2,""))</f>
      </c>
      <c r="H57" s="605">
        <f>+IF(G57="","",IF($B$8="Yes",IF(Input!$B$6="E",G57/'Setup Bm Input'!$B$34*'Self Stress'!F57*'Self Stress'!E57,G57/'Setup Bm Input'!$B$34*'Self Stress'!F57*'Self Stress'!E57/1000),""))</f>
      </c>
      <c r="I57" s="530"/>
      <c r="J57" s="530"/>
      <c r="K57" s="53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.75">
      <c r="A58" s="493"/>
      <c r="B58" s="493"/>
      <c r="C58" s="560" t="s">
        <v>92</v>
      </c>
      <c r="D58" s="594">
        <f>+IF('Setup Bm Input'!B65="","",'Setup Bm Input'!B65)</f>
      </c>
      <c r="E58" s="594">
        <f>+IF('Setup Bm Input'!D65="","",'Setup Bm Input'!D65)</f>
      </c>
      <c r="F58" s="594">
        <f>+IF('Setup Bm Input'!E65="","",'Setup Bm Input'!E65)</f>
      </c>
      <c r="G58" s="596">
        <f>IF(E58="","",IF($B$8="Yes",$E$8/'Setup Bm Input'!$B$48+$E$8/2,""))</f>
      </c>
      <c r="H58" s="605">
        <f>+IF(G58="","",IF($B$8="Yes",IF(Input!$B$6="E",G58/'Setup Bm Input'!$B$34*'Self Stress'!F58*'Self Stress'!E58,G58/'Setup Bm Input'!$B$34*'Self Stress'!F58*'Self Stress'!E58/1000),""))</f>
      </c>
      <c r="I58" s="530"/>
      <c r="J58" s="530"/>
      <c r="K58" s="53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2.75">
      <c r="A59" s="493"/>
      <c r="B59" s="493"/>
      <c r="C59" s="560" t="s">
        <v>93</v>
      </c>
      <c r="D59" s="594">
        <f>+IF('Setup Bm Input'!B66="","",'Setup Bm Input'!B66)</f>
      </c>
      <c r="E59" s="594">
        <f>+IF('Setup Bm Input'!D66="","",'Setup Bm Input'!D66)</f>
      </c>
      <c r="F59" s="594">
        <f>+IF('Setup Bm Input'!E66="","",'Setup Bm Input'!E66)</f>
      </c>
      <c r="G59" s="596">
        <f>IF(E59="","",IF($B$8="Yes",$E$8/'Setup Bm Input'!$B$48+$E$8/2,""))</f>
      </c>
      <c r="H59" s="605">
        <f>+IF(G59="","",IF($B$8="Yes",IF(Input!$B$6="E",G59/'Setup Bm Input'!$B$34*'Self Stress'!F59*'Self Stress'!E59,G59/'Setup Bm Input'!$B$34*'Self Stress'!F59*'Self Stress'!E59/1000),""))</f>
      </c>
      <c r="I59" s="530"/>
      <c r="J59" s="530"/>
      <c r="K59" s="53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2.75">
      <c r="A60" s="493"/>
      <c r="B60" s="493"/>
      <c r="C60" s="493"/>
      <c r="D60" s="493"/>
      <c r="E60" s="493"/>
      <c r="F60" s="493"/>
      <c r="G60" s="493"/>
      <c r="H60" s="493"/>
      <c r="I60" s="530"/>
      <c r="J60" s="530"/>
      <c r="K60" s="53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2.75">
      <c r="A61" s="513" t="s">
        <v>99</v>
      </c>
      <c r="B61" s="575">
        <f>IF(B6="","",B6)</f>
      </c>
      <c r="C61" s="576"/>
      <c r="D61" s="576"/>
      <c r="E61" s="576"/>
      <c r="F61" s="576"/>
      <c r="G61" s="576"/>
      <c r="H61" s="576"/>
      <c r="I61" s="576"/>
      <c r="J61" s="576"/>
      <c r="K61" s="57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2.75">
      <c r="A62" s="503"/>
      <c r="B62" s="577"/>
      <c r="C62" s="577"/>
      <c r="D62" s="577"/>
      <c r="E62" s="577"/>
      <c r="F62" s="577"/>
      <c r="G62" s="577"/>
      <c r="H62" s="577"/>
      <c r="I62" s="577"/>
      <c r="J62" s="577"/>
      <c r="K62" s="57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2.75">
      <c r="A63" s="576"/>
      <c r="B63" s="576"/>
      <c r="C63" s="576"/>
      <c r="D63" s="576"/>
      <c r="E63" s="576"/>
      <c r="F63" s="576"/>
      <c r="G63" s="576"/>
      <c r="H63" s="576"/>
      <c r="I63" s="576"/>
      <c r="J63" s="576"/>
      <c r="K63" s="576"/>
      <c r="L63" s="2"/>
      <c r="M63" s="2"/>
      <c r="N63" s="2"/>
      <c r="O63" s="156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2.75">
      <c r="A64" s="503"/>
      <c r="B64" s="503"/>
      <c r="C64" s="503"/>
      <c r="D64" s="503"/>
      <c r="E64" s="503"/>
      <c r="F64" s="503"/>
      <c r="G64" s="503"/>
      <c r="H64" s="503"/>
      <c r="I64" s="503"/>
      <c r="J64" s="503"/>
      <c r="K64" s="503"/>
      <c r="L64" s="2"/>
      <c r="M64" s="2"/>
      <c r="N64" s="2"/>
      <c r="O64" s="156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2.75">
      <c r="A65" s="503"/>
      <c r="B65" s="503"/>
      <c r="C65" s="503"/>
      <c r="D65" s="503"/>
      <c r="E65" s="503"/>
      <c r="F65" s="568" t="s">
        <v>1016</v>
      </c>
      <c r="G65" s="569">
        <f>+B5</f>
      </c>
      <c r="H65" s="570"/>
      <c r="I65" s="571"/>
      <c r="J65" s="503"/>
      <c r="K65" s="57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.75">
      <c r="A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2:32" ht="12.75"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2:32" ht="12.75"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2:32" ht="12.75"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2:32" ht="12.75"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.75">
      <c r="A72" s="2"/>
      <c r="B72" s="5"/>
      <c r="C72" s="5"/>
      <c r="D72" s="5"/>
      <c r="E72" s="5"/>
      <c r="F72" s="5"/>
      <c r="G72" s="149"/>
      <c r="H72" s="14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.75">
      <c r="A73" s="2"/>
      <c r="B73" s="2"/>
      <c r="C73" s="5"/>
      <c r="D73" s="5"/>
      <c r="E73" s="5"/>
      <c r="F73" s="5"/>
      <c r="G73" s="5"/>
      <c r="H73" s="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.75">
      <c r="A74" s="2"/>
      <c r="B74" s="5"/>
      <c r="C74" s="148"/>
      <c r="D74" s="148"/>
      <c r="E74" s="148"/>
      <c r="F74" s="148"/>
      <c r="G74" s="14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.75">
      <c r="A75" s="2"/>
      <c r="B75" s="5"/>
      <c r="C75" s="148"/>
      <c r="D75" s="148"/>
      <c r="E75" s="148"/>
      <c r="F75" s="148"/>
      <c r="G75" s="148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.75">
      <c r="A76" s="2"/>
      <c r="B76" s="155"/>
      <c r="C76" s="148"/>
      <c r="D76" s="148"/>
      <c r="E76" s="148"/>
      <c r="F76" s="148"/>
      <c r="G76" s="14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>
      <c r="A77" s="2"/>
      <c r="B77" s="5"/>
      <c r="C77" s="148"/>
      <c r="D77" s="148"/>
      <c r="E77" s="148"/>
      <c r="F77" s="148"/>
      <c r="G77" s="14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.75">
      <c r="A78" s="15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.75">
      <c r="A79" s="2"/>
      <c r="B79" s="7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.7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.75">
      <c r="A82" s="2"/>
      <c r="B82" s="5"/>
      <c r="C82" s="2"/>
      <c r="D82" s="2"/>
      <c r="E82" s="2"/>
      <c r="F82" s="2"/>
      <c r="G82" s="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.75">
      <c r="A83" s="2"/>
      <c r="B83" s="149"/>
      <c r="C83" s="5"/>
      <c r="D83" s="149"/>
      <c r="E83" s="5"/>
      <c r="F83" s="149"/>
      <c r="G83" s="149"/>
      <c r="H83" s="5"/>
      <c r="I83" s="149"/>
      <c r="J83" s="5"/>
      <c r="K83" s="149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.75">
      <c r="A85" s="5"/>
      <c r="B85" s="5"/>
      <c r="C85" s="5"/>
      <c r="D85" s="5"/>
      <c r="E85" s="2"/>
      <c r="F85" s="2"/>
      <c r="G85" s="5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2.75">
      <c r="A86" s="155"/>
      <c r="B86" s="5"/>
      <c r="C86" s="5"/>
      <c r="D86" s="5"/>
      <c r="E86" s="57"/>
      <c r="F86" s="57"/>
      <c r="G86" s="5"/>
      <c r="H86" s="5"/>
      <c r="I86" s="5"/>
      <c r="J86" s="57"/>
      <c r="K86" s="57"/>
      <c r="L86" s="2"/>
      <c r="M86" s="2"/>
      <c r="N86" s="2"/>
      <c r="O86" s="5"/>
      <c r="P86" s="5"/>
      <c r="Q86" s="5"/>
      <c r="R86" s="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.75">
      <c r="A87" s="5"/>
      <c r="B87" s="5"/>
      <c r="C87" s="5"/>
      <c r="D87" s="5"/>
      <c r="E87" s="2"/>
      <c r="F87" s="2"/>
      <c r="G87" s="5"/>
      <c r="H87" s="5"/>
      <c r="I87" s="5"/>
      <c r="J87" s="2"/>
      <c r="K87" s="2"/>
      <c r="L87" s="2"/>
      <c r="M87" s="2"/>
      <c r="N87" s="2"/>
      <c r="O87" s="5"/>
      <c r="P87" s="5"/>
      <c r="Q87" s="5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2.75">
      <c r="A88" s="2"/>
      <c r="B88" s="5"/>
      <c r="C88" s="5"/>
      <c r="D88" s="5"/>
      <c r="E88" s="2"/>
      <c r="F88" s="2"/>
      <c r="G88" s="5"/>
      <c r="H88" s="5"/>
      <c r="I88" s="5"/>
      <c r="J88" s="2"/>
      <c r="K88" s="2"/>
      <c r="L88" s="2"/>
      <c r="M88" s="2"/>
      <c r="N88" s="2"/>
      <c r="O88" s="5"/>
      <c r="P88" s="5"/>
      <c r="Q88" s="5"/>
      <c r="R88" s="5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2.75">
      <c r="A89" s="15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57"/>
      <c r="P89" s="157"/>
      <c r="Q89" s="157"/>
      <c r="R89" s="157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5"/>
      <c r="P90" s="5"/>
      <c r="Q90" s="5"/>
      <c r="R90" s="5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5"/>
      <c r="P91" s="5"/>
      <c r="Q91" s="5"/>
      <c r="R91" s="5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5.75">
      <c r="A92" s="16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.75">
      <c r="A93" s="2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54"/>
      <c r="N94" s="4"/>
      <c r="O94" s="158"/>
      <c r="P94" s="158"/>
      <c r="Q94" s="158"/>
      <c r="R94" s="158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2.75">
      <c r="A95" s="2"/>
      <c r="B95" s="5"/>
      <c r="C95" s="5"/>
      <c r="D95" s="2"/>
      <c r="E95" s="2"/>
      <c r="F95" s="2"/>
      <c r="G95" s="4"/>
      <c r="H95" s="5"/>
      <c r="I95" s="2"/>
      <c r="J95" s="2"/>
      <c r="K95" s="2"/>
      <c r="L95" s="2"/>
      <c r="M95" s="154"/>
      <c r="N95" s="4"/>
      <c r="O95" s="5"/>
      <c r="P95" s="5"/>
      <c r="Q95" s="5"/>
      <c r="R95" s="5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>
      <c r="A96" s="2"/>
      <c r="B96" s="2"/>
      <c r="C96" s="149"/>
      <c r="D96" s="5"/>
      <c r="E96" s="149"/>
      <c r="F96" s="5"/>
      <c r="G96" s="149"/>
      <c r="H96" s="149"/>
      <c r="I96" s="5"/>
      <c r="J96" s="2"/>
      <c r="K96" s="2"/>
      <c r="L96" s="2"/>
      <c r="M96" s="2"/>
      <c r="N96" s="4"/>
      <c r="O96" s="157"/>
      <c r="P96" s="157"/>
      <c r="Q96" s="157"/>
      <c r="R96" s="157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.75">
      <c r="A97" s="2"/>
      <c r="B97" s="2"/>
      <c r="C97" s="5"/>
      <c r="D97" s="5"/>
      <c r="E97" s="5"/>
      <c r="F97" s="5"/>
      <c r="G97" s="5"/>
      <c r="H97" s="5"/>
      <c r="I97" s="5"/>
      <c r="J97" s="5"/>
      <c r="K97" s="149"/>
      <c r="L97" s="2"/>
      <c r="M97" s="2"/>
      <c r="N97" s="4"/>
      <c r="O97" s="5"/>
      <c r="P97" s="5"/>
      <c r="Q97" s="5"/>
      <c r="R97" s="5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>
      <c r="A98" s="2"/>
      <c r="B98" s="5"/>
      <c r="C98" s="5"/>
      <c r="D98" s="5"/>
      <c r="E98" s="5"/>
      <c r="F98" s="2"/>
      <c r="G98" s="2"/>
      <c r="H98" s="5"/>
      <c r="I98" s="5"/>
      <c r="J98" s="5"/>
      <c r="K98" s="5"/>
      <c r="L98" s="2"/>
      <c r="M98" s="2"/>
      <c r="N98" s="2"/>
      <c r="O98" s="5"/>
      <c r="P98" s="5"/>
      <c r="Q98" s="5"/>
      <c r="R98" s="5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.75">
      <c r="A99" s="2"/>
      <c r="B99" s="5"/>
      <c r="C99" s="5"/>
      <c r="D99" s="5"/>
      <c r="E99" s="5"/>
      <c r="F99" s="57"/>
      <c r="G99" s="57"/>
      <c r="H99" s="5"/>
      <c r="I99" s="5"/>
      <c r="J99" s="2"/>
      <c r="K99" s="2"/>
      <c r="L99" s="2"/>
      <c r="M99" s="2"/>
      <c r="N99" s="4"/>
      <c r="O99" s="158"/>
      <c r="P99" s="158"/>
      <c r="Q99" s="158"/>
      <c r="R99" s="158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>
      <c r="A100" s="2"/>
      <c r="B100" s="155"/>
      <c r="C100" s="5"/>
      <c r="D100" s="5"/>
      <c r="E100" s="5"/>
      <c r="F100" s="2"/>
      <c r="G100" s="2"/>
      <c r="H100" s="5"/>
      <c r="I100" s="5"/>
      <c r="J100" s="57"/>
      <c r="K100" s="57"/>
      <c r="L100" s="2"/>
      <c r="M100" s="2"/>
      <c r="N100" s="4"/>
      <c r="O100" s="149"/>
      <c r="P100" s="149"/>
      <c r="Q100" s="149"/>
      <c r="R100" s="149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>
      <c r="A101" s="2"/>
      <c r="B101" s="5"/>
      <c r="C101" s="5"/>
      <c r="D101" s="5"/>
      <c r="E101" s="5"/>
      <c r="F101" s="2"/>
      <c r="G101" s="2"/>
      <c r="H101" s="5"/>
      <c r="I101" s="5"/>
      <c r="J101" s="2"/>
      <c r="K101" s="2"/>
      <c r="L101" s="2"/>
      <c r="M101" s="2"/>
      <c r="N101" s="4"/>
      <c r="O101" s="157"/>
      <c r="P101" s="157"/>
      <c r="Q101" s="157"/>
      <c r="R101" s="157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4"/>
      <c r="O102" s="5"/>
      <c r="P102" s="5"/>
      <c r="Q102" s="5"/>
      <c r="R102" s="5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.75">
      <c r="A103" s="2"/>
      <c r="B103" s="15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5"/>
      <c r="P103" s="5"/>
      <c r="Q103" s="5"/>
      <c r="R103" s="5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>
      <c r="A108" s="15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>
      <c r="A109" s="2"/>
      <c r="B109" s="159"/>
      <c r="C109" s="160"/>
      <c r="D109" s="160"/>
      <c r="E109" s="160"/>
      <c r="F109" s="160"/>
      <c r="G109" s="160"/>
      <c r="H109" s="160"/>
      <c r="I109" s="160"/>
      <c r="J109" s="160"/>
      <c r="K109" s="160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>
      <c r="A110" s="15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>
      <c r="A111" s="2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>
      <c r="A112" s="59"/>
      <c r="B112" s="2"/>
      <c r="C112" s="2"/>
      <c r="D112" s="2"/>
      <c r="E112" s="2"/>
      <c r="F112" s="2"/>
      <c r="G112" s="2"/>
      <c r="H112" s="15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>
      <c r="A113" s="59"/>
      <c r="B113" s="59"/>
      <c r="C113" s="59"/>
      <c r="D113" s="161"/>
      <c r="E113" s="59"/>
      <c r="F113" s="59"/>
      <c r="G113" s="59"/>
      <c r="H113" s="5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>
      <c r="A114" s="161"/>
      <c r="B114" s="59"/>
      <c r="C114" s="59"/>
      <c r="D114" s="59"/>
      <c r="E114" s="59"/>
      <c r="F114" s="59"/>
      <c r="G114" s="59"/>
      <c r="H114" s="5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>
      <c r="A115" s="162"/>
      <c r="B115" s="161"/>
      <c r="C115" s="161"/>
      <c r="D115" s="161"/>
      <c r="E115" s="161"/>
      <c r="F115" s="161"/>
      <c r="G115" s="161"/>
      <c r="H115" s="5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2:32" ht="12.75">
      <c r="B116" s="162"/>
      <c r="C116" s="162"/>
      <c r="D116" s="162"/>
      <c r="E116" s="162"/>
      <c r="F116" s="163"/>
      <c r="G116" s="163"/>
      <c r="H116" s="16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</sheetData>
  <sheetProtection sheet="1" objects="1" scenarios="1"/>
  <mergeCells count="9">
    <mergeCell ref="A32:K32"/>
    <mergeCell ref="A39:K39"/>
    <mergeCell ref="A40:K40"/>
    <mergeCell ref="A1:C1"/>
    <mergeCell ref="A15:K15"/>
    <mergeCell ref="A16:K16"/>
    <mergeCell ref="A17:K17"/>
    <mergeCell ref="A18:K18"/>
    <mergeCell ref="D19:D22"/>
  </mergeCells>
  <printOptions horizontalCentered="1"/>
  <pageMargins left="0.5" right="0.5" top="0.5" bottom="0.5" header="0" footer="0"/>
  <pageSetup fitToHeight="1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R10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8.8515625" style="0" customWidth="1"/>
    <col min="2" max="2" width="14.7109375" style="0" customWidth="1"/>
    <col min="3" max="3" width="10.7109375" style="0" customWidth="1"/>
    <col min="4" max="4" width="14.8515625" style="0" bestFit="1" customWidth="1"/>
    <col min="5" max="5" width="13.28125" style="0" customWidth="1"/>
    <col min="6" max="6" width="12.7109375" style="0" customWidth="1"/>
    <col min="7" max="7" width="13.28125" style="0" customWidth="1"/>
    <col min="8" max="8" width="12.7109375" style="0" customWidth="1"/>
    <col min="9" max="9" width="11.28125" style="0" bestFit="1" customWidth="1"/>
    <col min="10" max="11" width="10.7109375" style="0" customWidth="1"/>
    <col min="12" max="12" width="13.421875" style="0" bestFit="1" customWidth="1"/>
    <col min="13" max="14" width="15.7109375" style="0" customWidth="1"/>
  </cols>
  <sheetData>
    <row r="1" spans="1:252" ht="12.75">
      <c r="A1" s="1023" t="s">
        <v>861</v>
      </c>
      <c r="B1" s="1024"/>
      <c r="C1" s="1024"/>
      <c r="D1" s="493"/>
      <c r="E1" s="493"/>
      <c r="F1" s="493"/>
      <c r="G1" s="493"/>
      <c r="H1" s="493"/>
      <c r="I1" s="493"/>
      <c r="J1" s="493"/>
      <c r="K1" s="493"/>
      <c r="M1" s="4"/>
      <c r="N1" s="4"/>
      <c r="O1" s="4"/>
      <c r="IR1" s="2"/>
    </row>
    <row r="2" spans="1:252" ht="12.75">
      <c r="A2" s="493"/>
      <c r="B2" s="493"/>
      <c r="C2" s="493"/>
      <c r="D2" s="503"/>
      <c r="E2" s="503"/>
      <c r="F2" s="503"/>
      <c r="G2" s="503"/>
      <c r="H2" s="503"/>
      <c r="I2" s="503"/>
      <c r="J2" s="503"/>
      <c r="K2" s="503"/>
      <c r="L2" s="3"/>
      <c r="M2" s="59"/>
      <c r="N2" s="4"/>
      <c r="O2" s="4"/>
      <c r="IR2" s="2"/>
    </row>
    <row r="3" spans="1:252" ht="18">
      <c r="A3" s="609" t="s">
        <v>51</v>
      </c>
      <c r="B3" s="513"/>
      <c r="C3" s="503"/>
      <c r="D3" s="493"/>
      <c r="E3" s="493"/>
      <c r="F3" s="493"/>
      <c r="G3" s="493"/>
      <c r="H3" s="493"/>
      <c r="I3" s="593"/>
      <c r="J3" s="503"/>
      <c r="K3" s="503"/>
      <c r="L3" s="3"/>
      <c r="M3" s="59"/>
      <c r="N3" s="4"/>
      <c r="O3" s="4"/>
      <c r="IR3" s="2"/>
    </row>
    <row r="4" spans="1:252" ht="12.75">
      <c r="A4" s="513"/>
      <c r="B4" s="513"/>
      <c r="C4" s="503"/>
      <c r="D4" s="493"/>
      <c r="E4" s="493"/>
      <c r="F4" s="344"/>
      <c r="G4" s="585"/>
      <c r="H4" s="593"/>
      <c r="I4" s="503"/>
      <c r="J4" s="503"/>
      <c r="K4" s="503"/>
      <c r="L4" s="3"/>
      <c r="M4" s="59"/>
      <c r="N4" s="4"/>
      <c r="O4" s="4"/>
      <c r="IR4" s="2"/>
    </row>
    <row r="5" spans="1:252" ht="12.75">
      <c r="A5" s="610" t="s">
        <v>1016</v>
      </c>
      <c r="B5" s="524">
        <f>IF(Input!E14="","",Input!E14)</f>
      </c>
      <c r="C5" s="611"/>
      <c r="D5" s="595"/>
      <c r="E5" s="529"/>
      <c r="F5" s="503"/>
      <c r="G5" s="612"/>
      <c r="H5" s="494"/>
      <c r="I5" s="503"/>
      <c r="J5" s="503"/>
      <c r="K5" s="503"/>
      <c r="L5" s="3"/>
      <c r="M5" s="59"/>
      <c r="N5" s="4"/>
      <c r="O5" s="4"/>
      <c r="IR5" s="2"/>
    </row>
    <row r="6" spans="1:252" ht="12.75">
      <c r="A6" s="503"/>
      <c r="B6" s="493"/>
      <c r="C6" s="493"/>
      <c r="D6" s="493"/>
      <c r="E6" s="493"/>
      <c r="F6" s="493"/>
      <c r="G6" s="584"/>
      <c r="H6" s="494"/>
      <c r="I6" s="503"/>
      <c r="J6" s="503"/>
      <c r="K6" s="503"/>
      <c r="L6" s="3"/>
      <c r="M6" s="59"/>
      <c r="N6" s="4"/>
      <c r="O6" s="4"/>
      <c r="IR6" s="2"/>
    </row>
    <row r="7" spans="1:252" ht="12.75">
      <c r="A7" s="520"/>
      <c r="B7" s="522"/>
      <c r="C7" s="530"/>
      <c r="D7" s="530"/>
      <c r="E7" s="494"/>
      <c r="F7" s="613"/>
      <c r="G7" s="595" t="s">
        <v>689</v>
      </c>
      <c r="H7" s="197"/>
      <c r="I7" s="70" t="s">
        <v>661</v>
      </c>
      <c r="J7" s="503"/>
      <c r="K7" s="493"/>
      <c r="L7" s="3"/>
      <c r="M7" s="59"/>
      <c r="N7" s="4"/>
      <c r="O7" s="4"/>
      <c r="IR7" s="2"/>
    </row>
    <row r="8" spans="1:252" ht="12.75">
      <c r="A8" s="538" t="s">
        <v>795</v>
      </c>
      <c r="B8" s="532"/>
      <c r="C8" s="530"/>
      <c r="D8" s="530"/>
      <c r="E8" s="493"/>
      <c r="F8" s="528"/>
      <c r="G8" s="494"/>
      <c r="H8" s="503"/>
      <c r="I8" s="503"/>
      <c r="J8" s="503"/>
      <c r="K8" s="493"/>
      <c r="L8" s="3"/>
      <c r="M8" s="59"/>
      <c r="N8" s="4"/>
      <c r="O8" s="4"/>
      <c r="IR8" s="2"/>
    </row>
    <row r="9" spans="1:252" ht="12.75">
      <c r="A9" s="526" t="s">
        <v>1066</v>
      </c>
      <c r="B9" s="511">
        <f>+'Setup Bm Input'!F29</f>
        <v>0</v>
      </c>
      <c r="C9" s="493"/>
      <c r="D9" s="530"/>
      <c r="E9" s="493"/>
      <c r="F9" s="528"/>
      <c r="G9" s="494"/>
      <c r="H9" s="503"/>
      <c r="I9" s="503"/>
      <c r="J9" s="503"/>
      <c r="K9" s="493"/>
      <c r="L9" s="3"/>
      <c r="M9" s="59"/>
      <c r="N9" s="4"/>
      <c r="O9" s="4"/>
      <c r="IR9" s="2"/>
    </row>
    <row r="10" spans="1:252" ht="15.75">
      <c r="A10" s="541"/>
      <c r="B10" s="543"/>
      <c r="C10" s="530"/>
      <c r="D10" s="530"/>
      <c r="E10" s="513"/>
      <c r="F10" s="513"/>
      <c r="G10" s="595" t="s">
        <v>793</v>
      </c>
      <c r="H10" s="124"/>
      <c r="I10" s="494" t="str">
        <f>IF(Input!$B$6="","",IF(Input!$B$6="E","Degree F",IF(Input!$B$6="M","Degree C")))</f>
        <v>Degree F</v>
      </c>
      <c r="J10" s="503"/>
      <c r="K10" s="493"/>
      <c r="L10" s="3"/>
      <c r="M10" s="59"/>
      <c r="N10" s="4"/>
      <c r="O10" s="4"/>
      <c r="IR10" s="2"/>
    </row>
    <row r="11" spans="1:252" ht="12.75">
      <c r="A11" s="528"/>
      <c r="B11" s="528"/>
      <c r="C11" s="517"/>
      <c r="D11" s="614"/>
      <c r="E11" s="493"/>
      <c r="F11" s="493"/>
      <c r="G11" s="493"/>
      <c r="H11" s="493"/>
      <c r="I11" s="493"/>
      <c r="J11" s="503"/>
      <c r="K11" s="493"/>
      <c r="L11" s="3"/>
      <c r="M11" s="59"/>
      <c r="N11" s="4"/>
      <c r="O11" s="4"/>
      <c r="IR11" s="2"/>
    </row>
    <row r="12" spans="1:252" ht="15.75">
      <c r="A12" s="520"/>
      <c r="B12" s="522"/>
      <c r="C12" s="493"/>
      <c r="D12" s="493"/>
      <c r="E12" s="513"/>
      <c r="F12" s="513"/>
      <c r="G12" s="595" t="s">
        <v>1110</v>
      </c>
      <c r="H12" s="124"/>
      <c r="I12" s="494" t="str">
        <f>IF(Input!$B$6="","",IF(Input!$B$6="E","Degree F",IF(Input!$B$6="M","Degree C")))</f>
        <v>Degree F</v>
      </c>
      <c r="J12" s="503"/>
      <c r="K12" s="493"/>
      <c r="L12" s="3"/>
      <c r="M12" s="59"/>
      <c r="N12" s="4"/>
      <c r="O12" s="4"/>
      <c r="IR12" s="2"/>
    </row>
    <row r="13" spans="1:252" ht="12.75">
      <c r="A13" s="526" t="s">
        <v>802</v>
      </c>
      <c r="B13" s="511">
        <f>+'Setup Bm Input'!F34</f>
        <v>0</v>
      </c>
      <c r="C13" s="493"/>
      <c r="D13" s="493"/>
      <c r="E13" s="513"/>
      <c r="F13" s="513"/>
      <c r="G13" s="595"/>
      <c r="H13" s="584"/>
      <c r="I13" s="494"/>
      <c r="J13" s="503"/>
      <c r="K13" s="493"/>
      <c r="L13" s="3"/>
      <c r="M13" s="59"/>
      <c r="N13" s="4"/>
      <c r="O13" s="4"/>
      <c r="IR13" s="2"/>
    </row>
    <row r="14" spans="1:252" ht="12.75">
      <c r="A14" s="541"/>
      <c r="B14" s="543"/>
      <c r="C14" s="493"/>
      <c r="D14" s="493"/>
      <c r="E14" s="513"/>
      <c r="F14" s="513"/>
      <c r="G14" s="595"/>
      <c r="H14" s="584"/>
      <c r="I14" s="494"/>
      <c r="J14" s="503"/>
      <c r="K14" s="493"/>
      <c r="L14" s="3"/>
      <c r="M14" s="59"/>
      <c r="N14" s="4"/>
      <c r="O14" s="4"/>
      <c r="IR14" s="2"/>
    </row>
    <row r="15" spans="1:252" ht="12.75">
      <c r="A15" s="493"/>
      <c r="B15" s="493"/>
      <c r="C15" s="493"/>
      <c r="D15" s="493"/>
      <c r="E15" s="513"/>
      <c r="F15" s="513"/>
      <c r="G15" s="595"/>
      <c r="H15" s="584"/>
      <c r="I15" s="494"/>
      <c r="J15" s="503"/>
      <c r="K15" s="493"/>
      <c r="L15" s="3"/>
      <c r="M15" s="59"/>
      <c r="N15" s="4"/>
      <c r="O15" s="4"/>
      <c r="IR15" s="2"/>
    </row>
    <row r="16" spans="1:252" ht="12.75">
      <c r="A16" s="494"/>
      <c r="B16" s="493"/>
      <c r="C16" s="493"/>
      <c r="D16" s="493"/>
      <c r="E16" s="529"/>
      <c r="F16" s="530"/>
      <c r="G16" s="503"/>
      <c r="H16" s="503"/>
      <c r="I16" s="503"/>
      <c r="J16" s="503"/>
      <c r="K16" s="503"/>
      <c r="L16" s="3"/>
      <c r="M16" s="59"/>
      <c r="N16" s="4"/>
      <c r="O16" s="4"/>
      <c r="IR16" s="2"/>
    </row>
    <row r="17" spans="1:252" ht="12.75">
      <c r="A17" s="494" t="s">
        <v>805</v>
      </c>
      <c r="B17" s="493"/>
      <c r="C17" s="493"/>
      <c r="D17" s="493"/>
      <c r="E17" s="553"/>
      <c r="F17" s="493"/>
      <c r="G17" s="615" t="str">
        <f>IF(B13="Yes","Thermal Correction Over Ridden, beds are self-stressing."," ")</f>
        <v> </v>
      </c>
      <c r="H17" s="616"/>
      <c r="I17" s="617"/>
      <c r="J17" s="617"/>
      <c r="K17" s="611"/>
      <c r="L17" s="3"/>
      <c r="M17" s="59"/>
      <c r="N17" s="4"/>
      <c r="O17" s="4"/>
      <c r="IR17" s="2"/>
    </row>
    <row r="18" spans="1:252" ht="12.75">
      <c r="A18" s="494" t="s">
        <v>1181</v>
      </c>
      <c r="B18" s="493"/>
      <c r="C18" s="493"/>
      <c r="D18" s="549"/>
      <c r="E18" s="553"/>
      <c r="F18" s="493"/>
      <c r="G18" s="503"/>
      <c r="H18" s="503"/>
      <c r="I18" s="503"/>
      <c r="J18" s="503"/>
      <c r="K18" s="503"/>
      <c r="L18" s="3"/>
      <c r="M18" s="59"/>
      <c r="N18" s="4"/>
      <c r="O18" s="4"/>
      <c r="IR18" s="2"/>
    </row>
    <row r="19" spans="1:252" ht="12.75">
      <c r="A19" s="493"/>
      <c r="B19" s="493"/>
      <c r="C19" s="493"/>
      <c r="D19" s="493"/>
      <c r="E19" s="493"/>
      <c r="F19" s="493"/>
      <c r="G19" s="515"/>
      <c r="H19" s="515"/>
      <c r="I19" s="515"/>
      <c r="J19" s="515"/>
      <c r="K19" s="515"/>
      <c r="L19" s="62"/>
      <c r="M19" s="62"/>
      <c r="N19" s="58"/>
      <c r="O19" s="58"/>
      <c r="IR19" s="2"/>
    </row>
    <row r="20" spans="1:252" ht="12.75">
      <c r="A20" s="493"/>
      <c r="B20" s="493"/>
      <c r="C20" s="493"/>
      <c r="D20" s="493"/>
      <c r="E20" s="493"/>
      <c r="F20" s="493"/>
      <c r="G20" s="515"/>
      <c r="H20" s="515"/>
      <c r="I20" s="515"/>
      <c r="J20" s="515"/>
      <c r="K20" s="515"/>
      <c r="L20" s="62"/>
      <c r="M20" s="62"/>
      <c r="N20" s="58"/>
      <c r="O20" s="58"/>
      <c r="IR20" s="2"/>
    </row>
    <row r="21" spans="1:252" ht="12.75">
      <c r="A21" s="587" t="s">
        <v>100</v>
      </c>
      <c r="B21" s="503"/>
      <c r="C21" s="503"/>
      <c r="D21" s="503"/>
      <c r="E21" s="503"/>
      <c r="F21" s="503"/>
      <c r="G21" s="503"/>
      <c r="H21" s="503"/>
      <c r="I21" s="503"/>
      <c r="J21" s="503"/>
      <c r="K21" s="503"/>
      <c r="L21" s="59"/>
      <c r="M21" s="59"/>
      <c r="N21" s="4"/>
      <c r="O21" s="4"/>
      <c r="IR21" s="2"/>
    </row>
    <row r="22" spans="1:252" ht="4.5" customHeight="1">
      <c r="A22" s="495"/>
      <c r="B22" s="495"/>
      <c r="C22" s="495"/>
      <c r="D22" s="495"/>
      <c r="E22" s="495"/>
      <c r="F22" s="495"/>
      <c r="G22" s="495"/>
      <c r="H22" s="495"/>
      <c r="I22" s="495"/>
      <c r="J22" s="495"/>
      <c r="K22" s="495"/>
      <c r="L22" s="59"/>
      <c r="M22" s="59"/>
      <c r="N22" s="4"/>
      <c r="O22" s="4"/>
      <c r="IR22" s="2"/>
    </row>
    <row r="23" spans="1:252" s="7" customFormat="1" ht="12.75" customHeight="1">
      <c r="A23" s="618" t="s">
        <v>96</v>
      </c>
      <c r="B23" s="588"/>
      <c r="C23" s="588"/>
      <c r="D23" s="588"/>
      <c r="E23" s="588"/>
      <c r="F23" s="588"/>
      <c r="G23" s="588"/>
      <c r="H23" s="588"/>
      <c r="I23" s="588"/>
      <c r="J23" s="7" t="s">
        <v>1310</v>
      </c>
      <c r="K23" s="588"/>
      <c r="L23" s="59"/>
      <c r="M23" s="59"/>
      <c r="N23" s="4"/>
      <c r="O23" s="4"/>
      <c r="IR23" s="4"/>
    </row>
    <row r="24" spans="1:252" ht="15" customHeight="1">
      <c r="A24" s="1025" t="s">
        <v>84</v>
      </c>
      <c r="B24" s="1026"/>
      <c r="C24" s="1026"/>
      <c r="D24" s="1026"/>
      <c r="E24" s="1026"/>
      <c r="F24" s="1026"/>
      <c r="G24" s="1026"/>
      <c r="H24" s="1026"/>
      <c r="I24" s="1026"/>
      <c r="J24" s="1026"/>
      <c r="K24" s="1026"/>
      <c r="L24" s="6"/>
      <c r="M24" s="59"/>
      <c r="N24" s="4"/>
      <c r="O24" s="4"/>
      <c r="IR24" s="2"/>
    </row>
    <row r="25" spans="1:252" ht="15" customHeight="1">
      <c r="A25" s="1027" t="s">
        <v>101</v>
      </c>
      <c r="B25" s="1026"/>
      <c r="C25" s="1026"/>
      <c r="D25" s="1026"/>
      <c r="E25" s="1026"/>
      <c r="F25" s="1026"/>
      <c r="G25" s="1026"/>
      <c r="H25" s="1026"/>
      <c r="I25" s="1026"/>
      <c r="J25" s="1026"/>
      <c r="K25" s="1026"/>
      <c r="L25" s="6"/>
      <c r="M25" s="59"/>
      <c r="N25" s="4"/>
      <c r="O25" s="4"/>
      <c r="IR25" s="2"/>
    </row>
    <row r="26" spans="1:252" ht="15" customHeight="1">
      <c r="A26" s="1027" t="s">
        <v>102</v>
      </c>
      <c r="B26" s="1026"/>
      <c r="C26" s="1026"/>
      <c r="D26" s="1026"/>
      <c r="E26" s="1026"/>
      <c r="F26" s="1026"/>
      <c r="G26" s="1026"/>
      <c r="H26" s="1026"/>
      <c r="I26" s="1026"/>
      <c r="J26" s="1026"/>
      <c r="K26" s="1026"/>
      <c r="L26" s="6"/>
      <c r="M26" s="59"/>
      <c r="N26" s="4"/>
      <c r="O26" s="4"/>
      <c r="IR26" s="2"/>
    </row>
    <row r="27" spans="1:15" ht="15" customHeight="1">
      <c r="A27" s="1027" t="s">
        <v>1147</v>
      </c>
      <c r="B27" s="1026"/>
      <c r="C27" s="1026"/>
      <c r="D27" s="1026"/>
      <c r="E27" s="1026"/>
      <c r="F27" s="1026"/>
      <c r="G27" s="1026"/>
      <c r="H27" s="1026"/>
      <c r="I27" s="1026"/>
      <c r="J27" s="1026"/>
      <c r="K27" s="1026"/>
      <c r="L27" s="6"/>
      <c r="M27" s="59"/>
      <c r="N27" s="4"/>
      <c r="O27" s="4"/>
    </row>
    <row r="28" spans="1:15" ht="19.5" customHeight="1">
      <c r="A28" s="496" t="s">
        <v>1003</v>
      </c>
      <c r="B28" s="497">
        <f>IF(Input!$B$7="","",Input!$B$7)</f>
      </c>
      <c r="C28" s="498"/>
      <c r="D28" s="1020" t="s">
        <v>107</v>
      </c>
      <c r="E28" s="500">
        <v>1</v>
      </c>
      <c r="F28" s="501">
        <f>IF(Input!$C$64="","",Input!$C$64)</f>
      </c>
      <c r="G28" s="500">
        <v>5</v>
      </c>
      <c r="H28" s="501">
        <f>IF(Input!$E$64="","",Input!$E$64)</f>
      </c>
      <c r="I28" s="502" t="s">
        <v>560</v>
      </c>
      <c r="J28" s="506">
        <f>+H7</f>
        <v>0</v>
      </c>
      <c r="K28" s="503"/>
      <c r="M28" s="4"/>
      <c r="N28" s="4"/>
      <c r="O28" s="4"/>
    </row>
    <row r="29" spans="1:15" ht="19.5" customHeight="1">
      <c r="A29" s="496" t="s">
        <v>103</v>
      </c>
      <c r="B29" s="497">
        <f>IF(Input!$B$8="","",Input!$B$8)</f>
      </c>
      <c r="C29" s="498"/>
      <c r="D29" s="1021"/>
      <c r="E29" s="500">
        <v>2</v>
      </c>
      <c r="F29" s="501">
        <f>IF(Input!$C$65="","",Input!$C$65)</f>
      </c>
      <c r="G29" s="500">
        <v>6</v>
      </c>
      <c r="H29" s="501">
        <f>IF(Input!$E$65="","",Input!$E$65)</f>
      </c>
      <c r="I29" s="505" t="s">
        <v>50</v>
      </c>
      <c r="J29" s="506">
        <f ca="1">TODAY()</f>
        <v>40878</v>
      </c>
      <c r="K29" s="503"/>
      <c r="M29" s="4"/>
      <c r="N29" s="4"/>
      <c r="O29" s="4"/>
    </row>
    <row r="30" spans="1:15" ht="19.5" customHeight="1">
      <c r="A30" s="496" t="s">
        <v>1041</v>
      </c>
      <c r="B30" s="497">
        <f>IF(Input!$B$10="","",Input!$B$10)</f>
      </c>
      <c r="C30" s="498"/>
      <c r="D30" s="1021"/>
      <c r="E30" s="500">
        <v>3</v>
      </c>
      <c r="F30" s="501">
        <f>IF(Input!$C$66="","",Input!$C$66)</f>
      </c>
      <c r="G30" s="500">
        <v>7</v>
      </c>
      <c r="H30" s="501">
        <f>IF(Input!$E$66="","",Input!$E$66)</f>
      </c>
      <c r="I30" s="496" t="s">
        <v>1034</v>
      </c>
      <c r="J30" s="507">
        <f>IF(Input!$B$30="","",Input!$B$30)</f>
      </c>
      <c r="K30" s="508"/>
      <c r="M30" s="4"/>
      <c r="N30" s="4"/>
      <c r="O30" s="4"/>
    </row>
    <row r="31" spans="1:15" ht="19.5" customHeight="1">
      <c r="A31" s="496" t="s">
        <v>1004</v>
      </c>
      <c r="B31" s="497">
        <f>IF(Input!$E$5="","",Input!$E$5)</f>
      </c>
      <c r="C31" s="498"/>
      <c r="D31" s="1022"/>
      <c r="E31" s="500">
        <v>4</v>
      </c>
      <c r="F31" s="501">
        <f>IF(Input!$C$67="","",Input!$C$67)</f>
      </c>
      <c r="G31" s="500">
        <v>8</v>
      </c>
      <c r="H31" s="501">
        <f>IF(Input!$E$67="","",Input!$E$67)</f>
      </c>
      <c r="I31" s="496" t="s">
        <v>1035</v>
      </c>
      <c r="J31" s="507">
        <f>IF(Input!$B$31="","",Input!$B$31)</f>
      </c>
      <c r="K31" s="508"/>
      <c r="M31" s="4"/>
      <c r="N31" s="4"/>
      <c r="O31" s="4"/>
    </row>
    <row r="32" spans="1:15" ht="19.5" customHeight="1">
      <c r="A32" s="510" t="s">
        <v>49</v>
      </c>
      <c r="B32" s="497">
        <f>IF(Input!$E$6="","",Input!$E$6)</f>
      </c>
      <c r="C32" s="498"/>
      <c r="D32" s="496" t="s">
        <v>1017</v>
      </c>
      <c r="E32" s="511">
        <f>IF(Input!$B$68="","",Input!$B$68)</f>
      </c>
      <c r="F32" s="512"/>
      <c r="G32" s="512"/>
      <c r="H32" s="512"/>
      <c r="I32" s="496" t="s">
        <v>1030</v>
      </c>
      <c r="J32" s="507">
        <f>IF(Input!$B$32="","",Input!$B$32)</f>
      </c>
      <c r="K32" s="508"/>
      <c r="M32" s="4"/>
      <c r="N32" s="4"/>
      <c r="O32" s="4"/>
    </row>
    <row r="33" spans="1:15" ht="19.5" customHeight="1">
      <c r="A33" s="510" t="s">
        <v>106</v>
      </c>
      <c r="B33" s="497">
        <f>IF(Input!$E$7="","",Input!$E$7)</f>
      </c>
      <c r="C33" s="498"/>
      <c r="D33" s="496" t="s">
        <v>1018</v>
      </c>
      <c r="E33" s="511">
        <f>IF(Input!$B$69="","",Input!$B$69)</f>
      </c>
      <c r="F33" s="512"/>
      <c r="G33" s="512"/>
      <c r="H33" s="512"/>
      <c r="I33" s="496" t="s">
        <v>1036</v>
      </c>
      <c r="J33" s="507">
        <f>IF(Input!$B$33="","",Input!$B$33)</f>
      </c>
      <c r="K33" s="508"/>
      <c r="M33" s="4"/>
      <c r="N33" s="4"/>
      <c r="O33" s="4"/>
    </row>
    <row r="34" spans="1:15" ht="19.5" customHeight="1">
      <c r="A34" s="510" t="s">
        <v>48</v>
      </c>
      <c r="B34" s="497">
        <f>IF(Input!$E$8="","",Input!$E$8)</f>
      </c>
      <c r="C34" s="498"/>
      <c r="D34" s="496" t="s">
        <v>1019</v>
      </c>
      <c r="E34" s="511">
        <f>IF(Input!$B$70="","",Input!$B$70)</f>
      </c>
      <c r="F34" s="512"/>
      <c r="G34" s="512"/>
      <c r="H34" s="512"/>
      <c r="I34" s="496" t="s">
        <v>1033</v>
      </c>
      <c r="J34" s="507">
        <f>IF(Input!$B$34="","",Input!$B$34)</f>
      </c>
      <c r="K34" s="508"/>
      <c r="M34" s="4"/>
      <c r="N34" s="4"/>
      <c r="O34" s="4"/>
    </row>
    <row r="35" spans="1:15" ht="19.5" customHeight="1">
      <c r="A35" s="496" t="s">
        <v>1039</v>
      </c>
      <c r="B35" s="497">
        <f>IF(Input!$B$37="","",Input!$B$37)</f>
      </c>
      <c r="C35" s="498"/>
      <c r="D35" s="496" t="s">
        <v>1020</v>
      </c>
      <c r="E35" s="511">
        <f>IF(Input!$B$71="","",Input!$B$71)</f>
      </c>
      <c r="F35" s="512"/>
      <c r="G35" s="512"/>
      <c r="H35" s="512"/>
      <c r="I35" s="496" t="s">
        <v>1037</v>
      </c>
      <c r="J35" s="507">
        <f>IF(Input!$B$35="","",Input!$B$35)</f>
      </c>
      <c r="K35" s="508"/>
      <c r="M35" s="4"/>
      <c r="N35" s="4"/>
      <c r="O35" s="4"/>
    </row>
    <row r="36" spans="1:15" ht="19.5" customHeight="1">
      <c r="A36" s="496" t="s">
        <v>98</v>
      </c>
      <c r="B36" s="573"/>
      <c r="C36" s="574"/>
      <c r="D36" s="496" t="s">
        <v>1021</v>
      </c>
      <c r="E36" s="511">
        <f>IF(Input!$B$72="","",Input!$B$72)</f>
      </c>
      <c r="F36" s="512"/>
      <c r="G36" s="512"/>
      <c r="H36" s="512"/>
      <c r="I36" s="496" t="s">
        <v>1038</v>
      </c>
      <c r="J36" s="507">
        <f>IF(Input!$B$36="","",Input!$B$36)</f>
      </c>
      <c r="K36" s="508"/>
      <c r="M36" s="4"/>
      <c r="N36" s="4"/>
      <c r="O36" s="4"/>
    </row>
    <row r="37" spans="1:15" ht="19.5" customHeight="1">
      <c r="A37" s="496" t="s">
        <v>104</v>
      </c>
      <c r="B37" s="497">
        <f>IF(Input!$B$9="","",Input!$B$9)</f>
      </c>
      <c r="C37" s="498"/>
      <c r="D37" s="496" t="s">
        <v>1022</v>
      </c>
      <c r="E37" s="511">
        <f>IF(Input!$B$73="","",Input!$B$73)</f>
      </c>
      <c r="F37" s="512"/>
      <c r="G37" s="512"/>
      <c r="H37" s="512"/>
      <c r="I37" s="513"/>
      <c r="J37" s="514"/>
      <c r="K37" s="515"/>
      <c r="M37" s="4"/>
      <c r="N37" s="4"/>
      <c r="O37" s="4"/>
    </row>
    <row r="38" spans="1:15" ht="19.5" customHeight="1">
      <c r="A38" s="496" t="s">
        <v>105</v>
      </c>
      <c r="B38" s="516">
        <f>'Setup Bm Input'!$B$34</f>
      </c>
      <c r="C38" s="498" t="str">
        <f>IF(Input!$B$6="","",IF(Input!$B$6="E","in.",IF(Input!$B$6="M","mm")))</f>
        <v>in.</v>
      </c>
      <c r="D38" s="496" t="s">
        <v>1024</v>
      </c>
      <c r="E38" s="511">
        <f>IF('Setup Bm Input'!$A$46="","",'Setup Bm Input'!$A$46)</f>
      </c>
      <c r="F38" s="512"/>
      <c r="G38" s="512"/>
      <c r="H38" s="512"/>
      <c r="I38" s="517"/>
      <c r="J38" s="518"/>
      <c r="K38" s="515"/>
      <c r="M38" s="4"/>
      <c r="N38" s="4"/>
      <c r="O38" s="4"/>
    </row>
    <row r="39" spans="1:15" ht="19.5" customHeight="1">
      <c r="A39" s="589"/>
      <c r="B39" s="590"/>
      <c r="C39" s="590"/>
      <c r="D39" s="589"/>
      <c r="E39" s="591"/>
      <c r="F39" s="512"/>
      <c r="G39" s="512"/>
      <c r="H39" s="512"/>
      <c r="I39" s="517"/>
      <c r="J39" s="518"/>
      <c r="K39" s="515"/>
      <c r="M39" s="4"/>
      <c r="N39" s="4"/>
      <c r="O39" s="4"/>
    </row>
    <row r="40" spans="1:15" ht="19.5" customHeight="1">
      <c r="A40" s="503"/>
      <c r="B40" s="503"/>
      <c r="C40" s="503"/>
      <c r="D40" s="503"/>
      <c r="E40" s="503"/>
      <c r="F40" s="503"/>
      <c r="G40" s="503"/>
      <c r="H40" s="503"/>
      <c r="I40" s="503"/>
      <c r="J40" s="503"/>
      <c r="K40" s="503"/>
      <c r="L40" s="3"/>
      <c r="M40" s="59"/>
      <c r="N40" s="4"/>
      <c r="O40" s="4"/>
    </row>
    <row r="41" spans="1:15" ht="15.75" customHeight="1">
      <c r="A41" s="1031" t="s">
        <v>108</v>
      </c>
      <c r="B41" s="1032"/>
      <c r="C41" s="1032"/>
      <c r="D41" s="1032"/>
      <c r="E41" s="1032"/>
      <c r="F41" s="1032"/>
      <c r="G41" s="1032"/>
      <c r="H41" s="1032"/>
      <c r="I41" s="1032"/>
      <c r="J41" s="1032"/>
      <c r="K41" s="1032"/>
      <c r="L41" s="57"/>
      <c r="M41" s="59"/>
      <c r="N41" s="4"/>
      <c r="O41" s="4"/>
    </row>
    <row r="42" spans="1:15" ht="15.75" customHeight="1">
      <c r="A42" s="503"/>
      <c r="B42" s="528" t="s">
        <v>1127</v>
      </c>
      <c r="C42" s="493"/>
      <c r="D42" s="493"/>
      <c r="E42" s="493"/>
      <c r="F42" s="493"/>
      <c r="G42" s="494" t="s">
        <v>1152</v>
      </c>
      <c r="H42" s="493"/>
      <c r="I42" s="494"/>
      <c r="J42" s="503"/>
      <c r="K42" s="503"/>
      <c r="L42" s="3"/>
      <c r="M42" s="59"/>
      <c r="N42" s="4"/>
      <c r="O42" s="4"/>
    </row>
    <row r="43" spans="1:15" ht="15.75" customHeight="1">
      <c r="A43" s="503"/>
      <c r="B43" s="494" t="s">
        <v>1124</v>
      </c>
      <c r="C43" s="503"/>
      <c r="D43" s="503"/>
      <c r="E43" s="503"/>
      <c r="F43" s="493"/>
      <c r="G43" s="494" t="s">
        <v>1135</v>
      </c>
      <c r="H43" s="493"/>
      <c r="I43" s="493"/>
      <c r="J43" s="493"/>
      <c r="K43" s="493"/>
      <c r="L43" s="3"/>
      <c r="M43" s="59"/>
      <c r="N43" s="4"/>
      <c r="O43" s="4"/>
    </row>
    <row r="44" spans="1:15" ht="15.75" customHeight="1">
      <c r="A44" s="503"/>
      <c r="B44" s="494" t="s">
        <v>794</v>
      </c>
      <c r="C44" s="503"/>
      <c r="D44" s="503"/>
      <c r="E44" s="503"/>
      <c r="F44" s="493"/>
      <c r="G44" s="494" t="s">
        <v>1096</v>
      </c>
      <c r="H44" s="503"/>
      <c r="I44" s="494"/>
      <c r="J44" s="493"/>
      <c r="K44" s="493"/>
      <c r="L44" s="3"/>
      <c r="M44" s="59"/>
      <c r="N44" s="4"/>
      <c r="O44" s="4"/>
    </row>
    <row r="45" spans="1:15" ht="15.75" customHeight="1">
      <c r="A45" s="503"/>
      <c r="B45" s="494" t="s">
        <v>1125</v>
      </c>
      <c r="C45" s="503"/>
      <c r="D45" s="503"/>
      <c r="E45" s="503"/>
      <c r="F45" s="493"/>
      <c r="G45" s="494" t="s">
        <v>1097</v>
      </c>
      <c r="H45" s="503"/>
      <c r="I45" s="494"/>
      <c r="J45" s="493"/>
      <c r="K45" s="493"/>
      <c r="L45" s="3"/>
      <c r="M45" s="59"/>
      <c r="N45" s="4"/>
      <c r="O45" s="4"/>
    </row>
    <row r="46" spans="1:15" ht="15.75" customHeight="1">
      <c r="A46" s="503"/>
      <c r="B46" s="494" t="s">
        <v>838</v>
      </c>
      <c r="C46" s="503"/>
      <c r="D46" s="503"/>
      <c r="E46" s="503"/>
      <c r="F46" s="493"/>
      <c r="G46" s="494" t="s">
        <v>1098</v>
      </c>
      <c r="H46" s="503"/>
      <c r="I46" s="493"/>
      <c r="J46" s="493"/>
      <c r="K46" s="493"/>
      <c r="L46" s="3"/>
      <c r="M46" s="59"/>
      <c r="N46" s="4"/>
      <c r="O46" s="4"/>
    </row>
    <row r="47" spans="1:15" ht="15.75" customHeight="1">
      <c r="A47" s="592"/>
      <c r="B47" s="493"/>
      <c r="C47" s="592"/>
      <c r="D47" s="592"/>
      <c r="E47" s="592"/>
      <c r="F47" s="592"/>
      <c r="G47" s="592"/>
      <c r="H47" s="592"/>
      <c r="I47" s="592"/>
      <c r="J47" s="592"/>
      <c r="K47" s="592"/>
      <c r="L47" s="61"/>
      <c r="M47" s="59"/>
      <c r="N47" s="4"/>
      <c r="O47" s="4"/>
    </row>
    <row r="48" spans="1:15" ht="15.75" customHeight="1">
      <c r="A48" s="1033" t="s">
        <v>1149</v>
      </c>
      <c r="B48" s="1034"/>
      <c r="C48" s="1034"/>
      <c r="D48" s="1034"/>
      <c r="E48" s="1034"/>
      <c r="F48" s="1034"/>
      <c r="G48" s="1034"/>
      <c r="H48" s="1034"/>
      <c r="I48" s="1034"/>
      <c r="J48" s="1034"/>
      <c r="K48" s="1034"/>
      <c r="L48" s="57"/>
      <c r="M48" s="59"/>
      <c r="N48" s="4"/>
      <c r="O48" s="4"/>
    </row>
    <row r="49" spans="1:15" ht="15.75" customHeight="1">
      <c r="A49" s="503"/>
      <c r="B49" s="493"/>
      <c r="C49" s="493"/>
      <c r="D49" s="493"/>
      <c r="E49" s="493"/>
      <c r="F49" s="503"/>
      <c r="G49" s="503"/>
      <c r="H49" s="503"/>
      <c r="I49" s="572"/>
      <c r="J49" s="572"/>
      <c r="K49" s="572"/>
      <c r="L49" s="61"/>
      <c r="M49" s="59"/>
      <c r="N49" s="4"/>
      <c r="O49" s="4"/>
    </row>
    <row r="50" spans="1:15" ht="15.75" customHeight="1">
      <c r="A50" s="493"/>
      <c r="B50" s="494" t="s">
        <v>1128</v>
      </c>
      <c r="C50" s="619" t="s">
        <v>1144</v>
      </c>
      <c r="D50" s="563" t="s">
        <v>1126</v>
      </c>
      <c r="E50" s="620" t="str">
        <f>IF(Input!$B$6="","",IF(Input!$B$6="E","in.",IF(Input!$B$6="M","mm")))</f>
        <v>in.</v>
      </c>
      <c r="F50" s="494" t="s">
        <v>1086</v>
      </c>
      <c r="G50" s="344" t="s">
        <v>1130</v>
      </c>
      <c r="H50" s="70" t="s">
        <v>1131</v>
      </c>
      <c r="I50" s="567" t="str">
        <f>IF(Input!$B$6="","",IF(Input!$B$6="E","lbs.",IF(Input!$B$6="M","N")))</f>
        <v>lbs.</v>
      </c>
      <c r="J50" s="493"/>
      <c r="K50" s="621"/>
      <c r="L50" s="63"/>
      <c r="M50" s="59"/>
      <c r="N50" s="4"/>
      <c r="O50" s="4"/>
    </row>
    <row r="51" spans="1:15" ht="15.75" customHeight="1">
      <c r="A51" s="493"/>
      <c r="B51" s="493"/>
      <c r="C51" s="493"/>
      <c r="D51" s="493"/>
      <c r="E51" s="493"/>
      <c r="F51" s="494" t="s">
        <v>1061</v>
      </c>
      <c r="G51" s="608"/>
      <c r="H51" s="493"/>
      <c r="I51" s="621"/>
      <c r="J51" s="493"/>
      <c r="K51" s="621"/>
      <c r="L51" s="63"/>
      <c r="M51" s="59"/>
      <c r="N51" s="4"/>
      <c r="O51" s="4"/>
    </row>
    <row r="52" spans="1:15" ht="15.75" customHeight="1">
      <c r="A52" s="493"/>
      <c r="B52" s="493"/>
      <c r="C52" s="493"/>
      <c r="D52" s="493"/>
      <c r="E52" s="493"/>
      <c r="F52" s="494" t="s">
        <v>1129</v>
      </c>
      <c r="G52" s="493"/>
      <c r="H52" s="493"/>
      <c r="I52" s="621"/>
      <c r="J52" s="493"/>
      <c r="K52" s="621"/>
      <c r="L52" s="63"/>
      <c r="M52" s="59"/>
      <c r="N52" s="4"/>
      <c r="O52" s="4"/>
    </row>
    <row r="53" spans="1:15" ht="15.75" customHeight="1">
      <c r="A53" s="493"/>
      <c r="B53" s="493"/>
      <c r="C53" s="493"/>
      <c r="D53" s="493"/>
      <c r="E53" s="493"/>
      <c r="F53" s="493"/>
      <c r="G53" s="493"/>
      <c r="H53" s="493"/>
      <c r="I53" s="493"/>
      <c r="J53" s="493"/>
      <c r="K53" s="621"/>
      <c r="L53" s="63"/>
      <c r="M53" s="59"/>
      <c r="N53" s="4"/>
      <c r="O53" s="4"/>
    </row>
    <row r="54" spans="1:15" ht="15.75" customHeight="1">
      <c r="A54" s="520"/>
      <c r="B54" s="522"/>
      <c r="C54" s="619" t="s">
        <v>109</v>
      </c>
      <c r="D54" s="622">
        <f>IF(Input!B6="","",IF(Input!B6="E",0.0000065,IF(Input!B6="M",0.0000117)))</f>
        <v>6.5E-06</v>
      </c>
      <c r="E54" s="623" t="str">
        <f>IF(Input!$B$6="","",IF(Input!$B$6="E","in. per in. of strand per Degree F",IF(Input!$B$6="M","mm per mm of strand per Degree C")))</f>
        <v>in. per in. of strand per Degree F</v>
      </c>
      <c r="F54" s="621"/>
      <c r="G54" s="493"/>
      <c r="H54" s="619" t="s">
        <v>1146</v>
      </c>
      <c r="I54" s="624">
        <f>IF(H12="","",IF('Setup Bm Input'!F34="Yes",0,+H12))</f>
      </c>
      <c r="J54" s="625" t="str">
        <f>IF(Input!$B$6="","",IF(Input!$B$6="E","Degree F",IF(Input!$B$6="M","Degree C")))</f>
        <v>Degree F</v>
      </c>
      <c r="K54" s="621"/>
      <c r="L54" s="63"/>
      <c r="M54" s="59"/>
      <c r="N54" s="4"/>
      <c r="O54" s="4"/>
    </row>
    <row r="55" spans="1:15" ht="15.75" customHeight="1">
      <c r="A55" s="538" t="s">
        <v>1070</v>
      </c>
      <c r="B55" s="532"/>
      <c r="C55" s="493"/>
      <c r="D55" s="493"/>
      <c r="E55" s="493"/>
      <c r="F55" s="493"/>
      <c r="G55" s="493"/>
      <c r="H55" s="493"/>
      <c r="I55" s="493"/>
      <c r="J55" s="493"/>
      <c r="K55" s="621"/>
      <c r="L55" s="63"/>
      <c r="M55" s="59"/>
      <c r="N55" s="4"/>
      <c r="O55" s="65" t="s">
        <v>1143</v>
      </c>
    </row>
    <row r="56" spans="1:15" ht="15.75" customHeight="1">
      <c r="A56" s="526" t="s">
        <v>1066</v>
      </c>
      <c r="B56" s="511">
        <f>+IF('Setup Bm Input'!F29="","",'Setup Bm Input'!F29)</f>
      </c>
      <c r="C56" s="619" t="s">
        <v>1145</v>
      </c>
      <c r="D56" s="624">
        <f>+IF(H10="","",H10)</f>
      </c>
      <c r="E56" s="623" t="str">
        <f>IF(Input!$B$6="","",IF(Input!$B$6="E","Degree F",IF(Input!$B$6="M","Degree C")))</f>
        <v>Degree F</v>
      </c>
      <c r="F56" s="493"/>
      <c r="G56" s="619" t="s">
        <v>110</v>
      </c>
      <c r="H56" s="563" t="s">
        <v>1068</v>
      </c>
      <c r="I56" s="626">
        <f>+IF(I54="","",IF(D56="","",I54-D56))</f>
      </c>
      <c r="J56" s="627" t="str">
        <f>IF(Input!$B$6="","",IF(Input!$B$6="E","Degree F",IF(Input!$B$6="M","Degree C")))</f>
        <v>Degree F</v>
      </c>
      <c r="K56" s="621"/>
      <c r="L56" s="63"/>
      <c r="M56" s="59"/>
      <c r="N56" s="4"/>
      <c r="O56" s="165">
        <f>IF(Input!$B$6="E",I56,(1.8*I56))</f>
      </c>
    </row>
    <row r="57" spans="1:15" ht="15.75" customHeight="1">
      <c r="A57" s="541"/>
      <c r="B57" s="543"/>
      <c r="C57" s="493"/>
      <c r="D57" s="628"/>
      <c r="E57" s="629"/>
      <c r="F57" s="630"/>
      <c r="G57" s="630"/>
      <c r="H57" s="631"/>
      <c r="I57" s="632"/>
      <c r="J57" s="632"/>
      <c r="K57" s="621"/>
      <c r="L57" s="63"/>
      <c r="M57" s="59"/>
      <c r="N57" s="4"/>
      <c r="O57" s="4"/>
    </row>
    <row r="58" spans="1:15" ht="15.75" customHeight="1">
      <c r="A58" s="493"/>
      <c r="B58" s="493"/>
      <c r="C58" s="595" t="s">
        <v>1113</v>
      </c>
      <c r="D58" s="560">
        <f>+IF('Setup Bm Input'!B34="","",'Setup Bm Input'!B34)</f>
      </c>
      <c r="E58" s="567" t="str">
        <f>IF(Input!$B$6="","",IF(Input!$B$6="E","in.",IF(Input!$B$6="M","mm")))</f>
        <v>in.</v>
      </c>
      <c r="F58" s="630"/>
      <c r="G58" s="493"/>
      <c r="H58" s="595" t="s">
        <v>1139</v>
      </c>
      <c r="I58" s="633">
        <f>+'Setup Bm Input'!B29</f>
        <v>0</v>
      </c>
      <c r="J58" s="567" t="str">
        <f>IF(Input!$B$6="","",IF(Input!$B$6="E","lbs.",IF(Input!$B$6="M","N")))</f>
        <v>lbs.</v>
      </c>
      <c r="K58" s="621"/>
      <c r="L58" s="63"/>
      <c r="M58" s="59"/>
      <c r="N58" s="4"/>
      <c r="O58" s="4"/>
    </row>
    <row r="59" spans="1:15" ht="15.75" customHeight="1">
      <c r="A59" s="493"/>
      <c r="B59" s="493"/>
      <c r="C59" s="493"/>
      <c r="D59" s="493"/>
      <c r="E59" s="493"/>
      <c r="F59" s="493"/>
      <c r="G59" s="493"/>
      <c r="H59" s="493"/>
      <c r="I59" s="493"/>
      <c r="J59" s="503"/>
      <c r="K59" s="503"/>
      <c r="L59" s="3"/>
      <c r="M59" s="59"/>
      <c r="N59" s="4"/>
      <c r="O59" s="4"/>
    </row>
    <row r="60" spans="1:15" ht="15.75" customHeight="1">
      <c r="A60" s="494" t="s">
        <v>803</v>
      </c>
      <c r="B60" s="493"/>
      <c r="C60" s="493"/>
      <c r="D60" s="493"/>
      <c r="E60" s="493"/>
      <c r="F60" s="493"/>
      <c r="G60" s="493"/>
      <c r="H60" s="493"/>
      <c r="I60" s="493"/>
      <c r="J60" s="493"/>
      <c r="K60" s="493"/>
      <c r="M60" s="59"/>
      <c r="N60" s="4"/>
      <c r="O60" s="4"/>
    </row>
    <row r="61" spans="1:15" ht="15.75" customHeight="1">
      <c r="A61" s="494" t="s">
        <v>796</v>
      </c>
      <c r="B61" s="493"/>
      <c r="C61" s="493"/>
      <c r="D61" s="493"/>
      <c r="E61" s="493"/>
      <c r="F61" s="493"/>
      <c r="G61" s="1017">
        <f>+IF(B13="Yes","Thermal Correction Overridden","")</f>
      </c>
      <c r="H61" s="1017"/>
      <c r="I61" s="493"/>
      <c r="J61" s="493"/>
      <c r="K61" s="493"/>
      <c r="M61" s="59"/>
      <c r="N61" s="4"/>
      <c r="O61" s="4"/>
    </row>
    <row r="62" spans="1:17" ht="15.75" customHeight="1">
      <c r="A62" s="70" t="s">
        <v>790</v>
      </c>
      <c r="B62" s="493"/>
      <c r="C62" s="493"/>
      <c r="D62" s="493"/>
      <c r="E62" s="493"/>
      <c r="F62" s="493"/>
      <c r="G62" s="1017">
        <f>+IF(B13="Yes","Beds are Self-Stressing","")</f>
      </c>
      <c r="H62" s="1017"/>
      <c r="I62" s="493"/>
      <c r="J62" s="493"/>
      <c r="K62" s="493"/>
      <c r="M62" s="59"/>
      <c r="N62" s="4"/>
      <c r="O62" s="4"/>
      <c r="P62" s="40" t="s">
        <v>1055</v>
      </c>
      <c r="Q62" s="40" t="s">
        <v>1142</v>
      </c>
    </row>
    <row r="63" spans="1:16" ht="15.75" customHeight="1">
      <c r="A63" s="70" t="s">
        <v>792</v>
      </c>
      <c r="B63" s="493"/>
      <c r="C63" s="493"/>
      <c r="D63" s="493"/>
      <c r="E63" s="493"/>
      <c r="F63" s="493"/>
      <c r="G63" s="493"/>
      <c r="H63" s="493"/>
      <c r="I63" s="493"/>
      <c r="J63" s="493"/>
      <c r="K63" s="493"/>
      <c r="M63" s="59"/>
      <c r="N63" s="4"/>
      <c r="O63" s="65" t="s">
        <v>1140</v>
      </c>
      <c r="P63" s="40" t="s">
        <v>1141</v>
      </c>
    </row>
    <row r="64" spans="1:17" ht="15.75" customHeight="1">
      <c r="A64" s="70" t="s">
        <v>791</v>
      </c>
      <c r="B64" s="493"/>
      <c r="C64" s="493"/>
      <c r="D64" s="493"/>
      <c r="E64" s="493"/>
      <c r="F64" s="493"/>
      <c r="G64" s="493"/>
      <c r="H64" s="493"/>
      <c r="I64" s="493"/>
      <c r="J64" s="493"/>
      <c r="K64" s="493"/>
      <c r="L64" s="2"/>
      <c r="M64" s="59"/>
      <c r="N64" s="4"/>
      <c r="O64" s="34" t="e">
        <f>IF($D$54*$D$58*$I$56&lt;0,"",$D$54*$D$58*$I$56)</f>
        <v>#VALUE!</v>
      </c>
      <c r="P64">
        <f>IF($B$9="Yes",O64,"")</f>
      </c>
      <c r="Q64" t="e">
        <f>IF($O$56&gt;25,O64,"")</f>
        <v>#VALUE!</v>
      </c>
    </row>
    <row r="65" spans="1:17" ht="15.75" customHeight="1">
      <c r="A65" s="493"/>
      <c r="B65" s="597"/>
      <c r="C65" s="597"/>
      <c r="D65" s="597"/>
      <c r="E65" s="597"/>
      <c r="F65" s="559" t="s">
        <v>1133</v>
      </c>
      <c r="G65" s="559" t="s">
        <v>1134</v>
      </c>
      <c r="H65" s="493"/>
      <c r="I65" s="493"/>
      <c r="J65" s="493"/>
      <c r="K65" s="493"/>
      <c r="L65" s="61"/>
      <c r="M65" s="59"/>
      <c r="N65" s="4"/>
      <c r="O65" s="34" t="e">
        <f>IF($D$54*$D$58*$I$56&lt;0,"",$D$54*$D$58*$I$56)</f>
        <v>#VALUE!</v>
      </c>
      <c r="P65">
        <f>IF($B$9="Yes",O65,"")</f>
      </c>
      <c r="Q65" t="e">
        <f>IF($O$56&gt;25,O65,"")</f>
        <v>#VALUE!</v>
      </c>
    </row>
    <row r="66" spans="1:17" ht="15.75" customHeight="1">
      <c r="A66" s="493"/>
      <c r="B66" s="493"/>
      <c r="C66" s="493"/>
      <c r="D66" s="493"/>
      <c r="E66" s="493"/>
      <c r="F66" s="598" t="s">
        <v>1132</v>
      </c>
      <c r="G66" s="599" t="s">
        <v>1065</v>
      </c>
      <c r="H66" s="634" t="s">
        <v>111</v>
      </c>
      <c r="I66" s="551" t="s">
        <v>111</v>
      </c>
      <c r="J66" s="493"/>
      <c r="K66" s="493"/>
      <c r="L66" s="61"/>
      <c r="M66" s="59"/>
      <c r="N66" s="4"/>
      <c r="O66" s="34" t="e">
        <f>IF($D$54*$D$58*$I$56&lt;0,"",$D$54*$D$58*$I$56)</f>
        <v>#VALUE!</v>
      </c>
      <c r="P66">
        <f>IF($B$9="Yes",O66,"")</f>
      </c>
      <c r="Q66" t="e">
        <f>IF($O$56&gt;25,O66,"")</f>
        <v>#VALUE!</v>
      </c>
    </row>
    <row r="67" spans="1:17" ht="15.75" customHeight="1">
      <c r="A67" s="493"/>
      <c r="B67" s="493"/>
      <c r="C67" s="493"/>
      <c r="D67" s="559" t="s">
        <v>1080</v>
      </c>
      <c r="E67" s="635" t="s">
        <v>1081</v>
      </c>
      <c r="F67" s="600" t="s">
        <v>1064</v>
      </c>
      <c r="G67" s="600" t="s">
        <v>1064</v>
      </c>
      <c r="H67" s="636" t="s">
        <v>1061</v>
      </c>
      <c r="I67" s="552" t="s">
        <v>1061</v>
      </c>
      <c r="J67" s="493"/>
      <c r="K67" s="493"/>
      <c r="L67" s="61"/>
      <c r="M67" s="59"/>
      <c r="N67" s="4"/>
      <c r="O67" s="34" t="e">
        <f>IF($D$54*$D$58*$I$56&lt;0,"",$D$54*$D$58*$I$56)</f>
        <v>#VALUE!</v>
      </c>
      <c r="P67">
        <f>IF($B$9="Yes",O67,"")</f>
      </c>
      <c r="Q67" t="e">
        <f>IF($O$56&gt;25,O67,"")</f>
        <v>#VALUE!</v>
      </c>
    </row>
    <row r="68" spans="1:15" ht="15.75" customHeight="1">
      <c r="A68" s="493"/>
      <c r="B68" s="601" t="s">
        <v>113</v>
      </c>
      <c r="C68" s="560" t="s">
        <v>115</v>
      </c>
      <c r="D68" s="560" t="str">
        <f>IF(Input!$B$6="","",IF(Input!$B$6="E","Area (sq. in.)",IF(Input!$B$6="M","Area (sq. mm)")))</f>
        <v>Area (sq. in.)</v>
      </c>
      <c r="E68" s="602" t="str">
        <f>IF(Input!$B$6="","",IF(Input!$B$6="E","Mod. El. (psi)",IF(Input!$B$6="M","Mod. El. (kPA)")))</f>
        <v>Mod. El. (psi)</v>
      </c>
      <c r="F68" s="637" t="str">
        <f>IF(Input!$B$6="","",IF(Input!$B$6="E","Strand (in.)",IF(Input!$B$6="M","Strand (mm)")))</f>
        <v>Strand (in.)</v>
      </c>
      <c r="G68" s="638" t="str">
        <f>IF(Input!$B$6="","",IF(Input!$B$6="E","Strand (lbs.)",IF(Input!$B$6="M","Strand (N)")))</f>
        <v>Strand (lbs.)</v>
      </c>
      <c r="H68" s="639" t="s">
        <v>1137</v>
      </c>
      <c r="I68" s="640" t="s">
        <v>1138</v>
      </c>
      <c r="J68" s="641"/>
      <c r="K68" s="642"/>
      <c r="L68" s="61"/>
      <c r="M68" s="59"/>
      <c r="N68" s="4"/>
      <c r="O68" s="4"/>
    </row>
    <row r="69" spans="1:15" ht="19.5" customHeight="1">
      <c r="A69" s="493"/>
      <c r="B69" s="560" t="s">
        <v>90</v>
      </c>
      <c r="C69" s="594">
        <f>+IF('Setup Bm Input'!B63="","",'Setup Bm Input'!B63)</f>
      </c>
      <c r="D69" s="594">
        <f>+IF('Setup Bm Input'!D63="","",'Setup Bm Input'!D63)</f>
      </c>
      <c r="E69" s="594">
        <f>+IF('Setup Bm Input'!E63="","",'Setup Bm Input'!E63)</f>
      </c>
      <c r="F69" s="596">
        <f>IF($I$56="","",IF(D69="","",IF($B$9="Yes",P64,Q64)))</f>
      </c>
      <c r="G69" s="605">
        <f>+IF(F69="","",IF(Input!$B$6="E",E69*F69*D69/$D$58,E69*F69*D69/$D$58/1000))</f>
      </c>
      <c r="H69" s="644">
        <f>+IF(G69="","",(G69/$I$58)*100)</f>
      </c>
      <c r="I69" s="645">
        <f>IF(H69="","",IF(H69&lt;5.000001,"OK","No Good"))</f>
      </c>
      <c r="J69" s="646"/>
      <c r="K69" s="572"/>
      <c r="L69" s="61"/>
      <c r="M69" s="59"/>
      <c r="N69" s="4"/>
      <c r="O69" s="4"/>
    </row>
    <row r="70" spans="1:15" ht="19.5" customHeight="1">
      <c r="A70" s="493"/>
      <c r="B70" s="560" t="s">
        <v>91</v>
      </c>
      <c r="C70" s="594">
        <f>+IF('Setup Bm Input'!B64="","",'Setup Bm Input'!B64)</f>
      </c>
      <c r="D70" s="594">
        <f>+IF('Setup Bm Input'!D64="","",'Setup Bm Input'!D64)</f>
      </c>
      <c r="E70" s="594">
        <f>+IF('Setup Bm Input'!E64="","",'Setup Bm Input'!E64)</f>
      </c>
      <c r="F70" s="596">
        <f>IF($I$56="","",IF(D70="","",IF($B$9="Yes",P65,Q65)))</f>
      </c>
      <c r="G70" s="605">
        <f>+IF(F70="","",IF(Input!$B$6="E",E70*F70*D70/$D$58,E70*F70*D70/$D$58/1000))</f>
      </c>
      <c r="H70" s="644">
        <f>+IF(G70="","",(G70/$I$58)*100)</f>
      </c>
      <c r="I70" s="645">
        <f>IF(H70="","",IF(H70&lt;5.000001,"OK","No Good"))</f>
      </c>
      <c r="J70" s="503"/>
      <c r="K70" s="503"/>
      <c r="L70" s="61"/>
      <c r="M70" s="59"/>
      <c r="N70" s="4"/>
      <c r="O70" s="4"/>
    </row>
    <row r="71" spans="1:15" ht="19.5" customHeight="1">
      <c r="A71" s="493"/>
      <c r="B71" s="560" t="s">
        <v>92</v>
      </c>
      <c r="C71" s="594">
        <f>+IF('Setup Bm Input'!B65="","",'Setup Bm Input'!B65)</f>
      </c>
      <c r="D71" s="594">
        <f>+IF('Setup Bm Input'!D65="","",'Setup Bm Input'!D65)</f>
      </c>
      <c r="E71" s="594">
        <f>+IF('Setup Bm Input'!E65="","",'Setup Bm Input'!E65)</f>
      </c>
      <c r="F71" s="596">
        <f>IF($I$56="","",IF(D71="","",IF($B$9="Yes",P66,Q66)))</f>
      </c>
      <c r="G71" s="605">
        <f>+IF(F71="","",IF(Input!$B$6="E",E71*F71*D71/$D$58,E71*F71*D71/$D$58/1000))</f>
      </c>
      <c r="H71" s="644">
        <f>+IF(G71="","",(G71/$I$58)*100)</f>
      </c>
      <c r="I71" s="645">
        <f>IF(H71="","",IF(H71&lt;5.000001,"OK","No Good"))</f>
      </c>
      <c r="J71" s="493"/>
      <c r="K71" s="493"/>
      <c r="L71" s="61"/>
      <c r="M71" s="59"/>
      <c r="N71" s="4"/>
      <c r="O71" s="4"/>
    </row>
    <row r="72" spans="1:15" ht="19.5" customHeight="1">
      <c r="A72" s="493"/>
      <c r="B72" s="560" t="s">
        <v>93</v>
      </c>
      <c r="C72" s="594">
        <f>+IF('Setup Bm Input'!B66="","",'Setup Bm Input'!B66)</f>
      </c>
      <c r="D72" s="594">
        <f>+IF('Setup Bm Input'!D66="","",'Setup Bm Input'!D66)</f>
      </c>
      <c r="E72" s="594">
        <f>+IF('Setup Bm Input'!E66="","",'Setup Bm Input'!E66)</f>
      </c>
      <c r="F72" s="596">
        <f>IF($I$56="","",IF(D72="","",IF($B$9="Yes",P67,Q67)))</f>
      </c>
      <c r="G72" s="605">
        <f>+IF(F72="","",IF(Input!$B$6="E",E72*F72*D72/$D$58,E72*F72*D72/$D$58/1000))</f>
      </c>
      <c r="H72" s="644">
        <f>+IF(G72="","",(G72/$I$58)*100)</f>
      </c>
      <c r="I72" s="645">
        <f>IF(H72="","",IF(H72&lt;5.000001,"OK","No Good"))</f>
      </c>
      <c r="J72" s="493"/>
      <c r="K72" s="493"/>
      <c r="L72" s="61"/>
      <c r="M72" s="59"/>
      <c r="N72" s="4"/>
      <c r="O72" s="4"/>
    </row>
    <row r="73" spans="1:15" ht="19.5" customHeight="1">
      <c r="A73" s="493"/>
      <c r="B73" s="493"/>
      <c r="C73" s="493"/>
      <c r="D73" s="493"/>
      <c r="E73" s="493"/>
      <c r="F73" s="493"/>
      <c r="G73" s="493"/>
      <c r="H73" s="493"/>
      <c r="I73" s="493"/>
      <c r="J73" s="493"/>
      <c r="K73" s="493"/>
      <c r="L73" s="61"/>
      <c r="M73" s="59"/>
      <c r="N73" s="4"/>
      <c r="O73" s="4"/>
    </row>
    <row r="74" spans="1:15" ht="15.75">
      <c r="A74" s="610" t="s">
        <v>1136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61"/>
      <c r="N74" s="4"/>
      <c r="O74" s="4"/>
    </row>
    <row r="75" spans="1:15" ht="12.75">
      <c r="A75" s="503"/>
      <c r="B75" s="503"/>
      <c r="C75" s="503"/>
      <c r="D75" s="503"/>
      <c r="E75" s="503"/>
      <c r="F75" s="503"/>
      <c r="G75" s="503"/>
      <c r="H75" s="503"/>
      <c r="I75" s="503"/>
      <c r="J75" s="503"/>
      <c r="K75" s="503"/>
      <c r="L75" s="61"/>
      <c r="N75" s="4"/>
      <c r="O75" s="4"/>
    </row>
    <row r="76" spans="1:15" ht="12.75">
      <c r="A76" s="513" t="s">
        <v>99</v>
      </c>
      <c r="B76" s="575"/>
      <c r="C76" s="576"/>
      <c r="D76" s="576"/>
      <c r="E76" s="576"/>
      <c r="F76" s="576"/>
      <c r="G76" s="576"/>
      <c r="H76" s="576"/>
      <c r="I76" s="576"/>
      <c r="J76" s="576"/>
      <c r="K76" s="576"/>
      <c r="L76" s="3"/>
      <c r="N76" s="4"/>
      <c r="O76" s="4"/>
    </row>
    <row r="77" spans="1:15" ht="12.75">
      <c r="A77" s="503"/>
      <c r="B77" s="577"/>
      <c r="C77" s="577"/>
      <c r="D77" s="577"/>
      <c r="E77" s="577"/>
      <c r="F77" s="577"/>
      <c r="G77" s="577"/>
      <c r="H77" s="577"/>
      <c r="I77" s="577"/>
      <c r="J77" s="577"/>
      <c r="K77" s="577"/>
      <c r="N77" s="4"/>
      <c r="O77" s="4"/>
    </row>
    <row r="78" spans="1:15" ht="12.75">
      <c r="A78" s="576"/>
      <c r="B78" s="576"/>
      <c r="C78" s="576"/>
      <c r="D78" s="576"/>
      <c r="E78" s="576"/>
      <c r="F78" s="576"/>
      <c r="G78" s="576"/>
      <c r="H78" s="576"/>
      <c r="I78" s="576"/>
      <c r="J78" s="576"/>
      <c r="K78" s="576"/>
      <c r="N78" s="4"/>
      <c r="O78" s="4"/>
    </row>
    <row r="79" spans="1:15" ht="12.75">
      <c r="A79" s="503"/>
      <c r="B79" s="503"/>
      <c r="C79" s="503"/>
      <c r="D79" s="503"/>
      <c r="E79" s="503"/>
      <c r="F79" s="503"/>
      <c r="G79" s="503"/>
      <c r="H79" s="503"/>
      <c r="I79" s="503"/>
      <c r="J79" s="503"/>
      <c r="K79" s="503"/>
      <c r="N79" s="4"/>
      <c r="O79" s="4"/>
    </row>
    <row r="80" spans="1:15" ht="12.75">
      <c r="A80" s="503"/>
      <c r="B80" s="503"/>
      <c r="C80" s="503"/>
      <c r="D80" s="503"/>
      <c r="E80" s="503"/>
      <c r="F80" s="568" t="s">
        <v>1016</v>
      </c>
      <c r="G80" s="569">
        <f>IF(B5="","",B5)</f>
      </c>
      <c r="H80" s="570"/>
      <c r="I80" s="571"/>
      <c r="J80" s="503"/>
      <c r="K80" s="503"/>
      <c r="N80" s="4"/>
      <c r="O80" s="4"/>
    </row>
    <row r="81" spans="1:15" ht="12.75">
      <c r="A81" s="503" t="s">
        <v>1270</v>
      </c>
      <c r="B81" s="503"/>
      <c r="C81" s="503"/>
      <c r="D81" s="503"/>
      <c r="E81" s="503"/>
      <c r="F81" s="503"/>
      <c r="G81" s="503"/>
      <c r="H81" s="503"/>
      <c r="I81" s="503"/>
      <c r="J81" s="503"/>
      <c r="K81" s="503"/>
      <c r="N81" s="4"/>
      <c r="O81" s="4"/>
    </row>
    <row r="82" spans="14:15" ht="12.75">
      <c r="N82" s="4"/>
      <c r="O82" s="4"/>
    </row>
    <row r="83" spans="14:15" ht="12.75">
      <c r="N83" s="4"/>
      <c r="O83" s="4"/>
    </row>
    <row r="84" spans="14:15" ht="12.75">
      <c r="N84" s="4"/>
      <c r="O84" s="4"/>
    </row>
    <row r="85" spans="14:15" ht="12.75">
      <c r="N85" s="4"/>
      <c r="O85" s="4"/>
    </row>
    <row r="86" spans="14:15" ht="12.75">
      <c r="N86" s="4"/>
      <c r="O86" s="4"/>
    </row>
    <row r="87" spans="14:15" ht="12.75">
      <c r="N87" s="4"/>
      <c r="O87" s="4"/>
    </row>
    <row r="88" spans="14:15" ht="12.75">
      <c r="N88" s="4"/>
      <c r="O88" s="4"/>
    </row>
    <row r="89" spans="14:15" ht="12.75">
      <c r="N89" s="4"/>
      <c r="O89" s="4"/>
    </row>
    <row r="90" spans="14:15" ht="12.75">
      <c r="N90" s="4"/>
      <c r="O90" s="4"/>
    </row>
    <row r="91" spans="14:15" ht="12.75">
      <c r="N91" s="4"/>
      <c r="O91" s="4"/>
    </row>
    <row r="92" spans="14:15" ht="12.75">
      <c r="N92" s="4"/>
      <c r="O92" s="4"/>
    </row>
    <row r="93" spans="14:15" ht="12.75">
      <c r="N93" s="4"/>
      <c r="O93" s="4"/>
    </row>
    <row r="94" spans="14:15" ht="12.75">
      <c r="N94" s="4"/>
      <c r="O94" s="4"/>
    </row>
    <row r="95" spans="14:15" ht="12.75">
      <c r="N95" s="4"/>
      <c r="O95" s="4"/>
    </row>
    <row r="96" spans="14:15" ht="12.75">
      <c r="N96" s="4"/>
      <c r="O96" s="4"/>
    </row>
    <row r="97" spans="14:15" ht="12.75">
      <c r="N97" s="4"/>
      <c r="O97" s="4"/>
    </row>
    <row r="98" spans="14:15" ht="12.75">
      <c r="N98" s="4"/>
      <c r="O98" s="4"/>
    </row>
    <row r="99" spans="14:15" ht="12.75">
      <c r="N99" s="4"/>
      <c r="O99" s="4"/>
    </row>
    <row r="100" spans="14:15" ht="12.75">
      <c r="N100" s="4"/>
      <c r="O100" s="4"/>
    </row>
    <row r="101" spans="14:15" ht="12.75">
      <c r="N101" s="4"/>
      <c r="O101" s="4"/>
    </row>
    <row r="102" spans="14:15" ht="12.75">
      <c r="N102" s="4"/>
      <c r="O102" s="4"/>
    </row>
    <row r="103" spans="14:15" ht="12.75">
      <c r="N103" s="4"/>
      <c r="O103" s="4"/>
    </row>
  </sheetData>
  <sheetProtection sheet="1" objects="1" scenarios="1"/>
  <mergeCells count="8">
    <mergeCell ref="A41:K41"/>
    <mergeCell ref="A48:K48"/>
    <mergeCell ref="A1:C1"/>
    <mergeCell ref="A24:K24"/>
    <mergeCell ref="A25:K25"/>
    <mergeCell ref="A26:K26"/>
    <mergeCell ref="D28:D31"/>
    <mergeCell ref="A27:K27"/>
  </mergeCells>
  <printOptions horizontalCentered="1"/>
  <pageMargins left="0.5" right="0.5" top="0.5" bottom="0.5" header="0" footer="0"/>
  <pageSetup fitToHeight="1" fitToWidth="1"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Q9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3.140625" style="0" customWidth="1"/>
    <col min="2" max="2" width="13.8515625" style="0" customWidth="1"/>
    <col min="3" max="3" width="12.421875" style="0" customWidth="1"/>
    <col min="4" max="4" width="14.57421875" style="0" customWidth="1"/>
    <col min="5" max="5" width="11.28125" style="0" customWidth="1"/>
    <col min="6" max="6" width="13.140625" style="0" customWidth="1"/>
    <col min="7" max="7" width="10.421875" style="0" customWidth="1"/>
    <col min="8" max="8" width="13.421875" style="0" customWidth="1"/>
    <col min="9" max="9" width="11.8515625" style="0" customWidth="1"/>
    <col min="10" max="10" width="10.7109375" style="0" customWidth="1"/>
  </cols>
  <sheetData>
    <row r="1" spans="1:251" ht="12.75">
      <c r="A1" s="1023" t="s">
        <v>861</v>
      </c>
      <c r="B1" s="1024"/>
      <c r="C1" s="1024"/>
      <c r="D1" s="530"/>
      <c r="E1" s="530"/>
      <c r="F1" s="530"/>
      <c r="G1" s="530"/>
      <c r="H1" s="530"/>
      <c r="I1" s="530"/>
      <c r="J1" s="530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IQ1" s="13">
        <f>IF(Data!D78="","",Data!D78)</f>
        <v>0</v>
      </c>
    </row>
    <row r="2" spans="1:251" ht="12.75">
      <c r="A2" s="530"/>
      <c r="B2" s="549"/>
      <c r="C2" s="549"/>
      <c r="D2" s="549"/>
      <c r="E2" s="549"/>
      <c r="F2" s="549"/>
      <c r="G2" s="549"/>
      <c r="H2" s="549"/>
      <c r="I2" s="549"/>
      <c r="J2" s="530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IQ2" s="13">
        <f>IF(Data!D79="","",Data!D79)</f>
        <v>0</v>
      </c>
    </row>
    <row r="3" spans="1:251" ht="12.75">
      <c r="A3" s="565"/>
      <c r="B3" s="584"/>
      <c r="C3" s="544"/>
      <c r="D3" s="544"/>
      <c r="E3" s="584"/>
      <c r="F3" s="647"/>
      <c r="G3" s="550"/>
      <c r="H3" s="553"/>
      <c r="I3" s="553"/>
      <c r="J3" s="530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IQ3" s="13">
        <f>IF(Data!D80="","",Data!D80)</f>
        <v>0</v>
      </c>
    </row>
    <row r="4" spans="1:251" ht="12.75">
      <c r="A4" s="565"/>
      <c r="B4" s="584"/>
      <c r="C4" s="544"/>
      <c r="D4" s="544"/>
      <c r="E4" s="584"/>
      <c r="F4" s="647"/>
      <c r="G4" s="550"/>
      <c r="H4" s="553"/>
      <c r="I4" s="553"/>
      <c r="J4" s="530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IQ4" s="13">
        <f>IF(Data!D81="","",Data!D81)</f>
        <v>0</v>
      </c>
    </row>
    <row r="5" spans="1:251" ht="12.75">
      <c r="A5" s="565"/>
      <c r="B5" s="584"/>
      <c r="C5" s="544"/>
      <c r="D5" s="544"/>
      <c r="E5" s="584"/>
      <c r="F5" s="647"/>
      <c r="G5" s="550"/>
      <c r="H5" s="553"/>
      <c r="I5" s="553"/>
      <c r="J5" s="530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IQ5" s="13">
        <f>IF(Data!D82="","",Data!D82)</f>
        <v>0</v>
      </c>
    </row>
    <row r="6" spans="1:251" ht="12.75">
      <c r="A6" s="565"/>
      <c r="B6" s="584"/>
      <c r="C6" s="544"/>
      <c r="D6" s="544"/>
      <c r="E6" s="584"/>
      <c r="F6" s="647"/>
      <c r="G6" s="550"/>
      <c r="H6" s="553"/>
      <c r="I6" s="553"/>
      <c r="J6" s="530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IQ6" s="13">
        <f>IF(Data!D83="","",Data!D83)</f>
        <v>0</v>
      </c>
    </row>
    <row r="7" spans="1:251" ht="12.75">
      <c r="A7" s="648"/>
      <c r="B7" s="530"/>
      <c r="C7" s="530"/>
      <c r="D7" s="530"/>
      <c r="E7" s="549"/>
      <c r="F7" s="530"/>
      <c r="G7" s="530"/>
      <c r="H7" s="530"/>
      <c r="I7" s="530"/>
      <c r="J7" s="530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IQ7" s="13">
        <f>IF(Data!D84="","",Data!D84)</f>
        <v>0</v>
      </c>
    </row>
    <row r="8" spans="1:251" ht="4.5" customHeight="1">
      <c r="A8" s="649"/>
      <c r="B8" s="650"/>
      <c r="C8" s="650"/>
      <c r="D8" s="650"/>
      <c r="E8" s="650"/>
      <c r="F8" s="650"/>
      <c r="G8" s="650"/>
      <c r="H8" s="650"/>
      <c r="I8" s="650"/>
      <c r="J8" s="650"/>
      <c r="K8" s="651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IQ8" s="13">
        <f>IF(Data!D85="","",Data!D85)</f>
        <v>0</v>
      </c>
    </row>
    <row r="9" spans="1:251" ht="12.75">
      <c r="A9" s="494" t="s">
        <v>1182</v>
      </c>
      <c r="B9" s="588"/>
      <c r="C9" s="588"/>
      <c r="D9" s="588"/>
      <c r="E9" s="588"/>
      <c r="F9" s="588"/>
      <c r="G9" s="588"/>
      <c r="H9" s="588"/>
      <c r="I9" s="588"/>
      <c r="J9" s="7" t="s">
        <v>1310</v>
      </c>
      <c r="K9" s="588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IQ9" s="13">
        <f>IF(Data!D86="","",Data!D86)</f>
        <v>0</v>
      </c>
    </row>
    <row r="10" spans="1:251" ht="15.75">
      <c r="A10" s="1025" t="s">
        <v>84</v>
      </c>
      <c r="B10" s="1026"/>
      <c r="C10" s="1026"/>
      <c r="D10" s="1026"/>
      <c r="E10" s="1026"/>
      <c r="F10" s="1026"/>
      <c r="G10" s="1026"/>
      <c r="H10" s="1026"/>
      <c r="I10" s="1026"/>
      <c r="J10" s="1026"/>
      <c r="K10" s="1026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IQ10" s="13">
        <f>IF(Data!D87="","",Data!D87)</f>
        <v>0</v>
      </c>
    </row>
    <row r="11" spans="1:251" ht="12.75">
      <c r="A11" s="1027" t="s">
        <v>101</v>
      </c>
      <c r="B11" s="1026"/>
      <c r="C11" s="1026"/>
      <c r="D11" s="1026"/>
      <c r="E11" s="1026"/>
      <c r="F11" s="1026"/>
      <c r="G11" s="1026"/>
      <c r="H11" s="1026"/>
      <c r="I11" s="1026"/>
      <c r="J11" s="1026"/>
      <c r="K11" s="1026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IQ11" s="13">
        <f>IF(Data!D88="","",Data!D88)</f>
        <v>0</v>
      </c>
    </row>
    <row r="12" spans="1:251" ht="12.75">
      <c r="A12" s="1027" t="s">
        <v>102</v>
      </c>
      <c r="B12" s="1026"/>
      <c r="C12" s="1026"/>
      <c r="D12" s="1026"/>
      <c r="E12" s="1026"/>
      <c r="F12" s="1026"/>
      <c r="G12" s="1026"/>
      <c r="H12" s="1026"/>
      <c r="I12" s="1026"/>
      <c r="J12" s="1026"/>
      <c r="K12" s="1026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IQ12" s="13">
        <f>IF(Data!D89="","",Data!D89)</f>
        <v>0</v>
      </c>
    </row>
    <row r="13" spans="1:251" ht="12.75">
      <c r="A13" s="1027" t="s">
        <v>1167</v>
      </c>
      <c r="B13" s="1026"/>
      <c r="C13" s="1026"/>
      <c r="D13" s="1026"/>
      <c r="E13" s="1026"/>
      <c r="F13" s="1026"/>
      <c r="G13" s="1026"/>
      <c r="H13" s="1026"/>
      <c r="I13" s="1026"/>
      <c r="J13" s="1026"/>
      <c r="K13" s="1026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IQ13" s="13">
        <f>IF(Data!D90="","",Data!D90)</f>
        <v>0</v>
      </c>
    </row>
    <row r="14" spans="1:251" ht="12.75">
      <c r="A14" s="496" t="s">
        <v>1003</v>
      </c>
      <c r="B14" s="497">
        <f>IF(Input!$B$7="","",Input!$B$7)</f>
      </c>
      <c r="C14" s="498"/>
      <c r="D14" s="1020" t="s">
        <v>107</v>
      </c>
      <c r="E14" s="500">
        <v>1</v>
      </c>
      <c r="F14" s="501">
        <f>IF(Input!$C$64="","",Input!$C$64)</f>
      </c>
      <c r="G14" s="500">
        <v>5</v>
      </c>
      <c r="H14" s="501">
        <f>IF(Input!$E$64="","",Input!$E$64)</f>
      </c>
      <c r="I14" s="502" t="s">
        <v>560</v>
      </c>
      <c r="J14" s="607"/>
      <c r="K14" s="50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IQ14" s="13">
        <f>IF(Data!D91="","",Data!D91)</f>
        <v>0</v>
      </c>
    </row>
    <row r="15" spans="1:251" ht="12.75">
      <c r="A15" s="496" t="s">
        <v>103</v>
      </c>
      <c r="B15" s="497">
        <f>IF(Input!$B$8="","",Input!$B$8)</f>
      </c>
      <c r="C15" s="498"/>
      <c r="D15" s="1021"/>
      <c r="E15" s="500">
        <v>2</v>
      </c>
      <c r="F15" s="501">
        <f>IF(Input!$C$65="","",Input!$C$65)</f>
      </c>
      <c r="G15" s="500">
        <v>6</v>
      </c>
      <c r="H15" s="501">
        <f>IF(Input!$E$65="","",Input!$E$65)</f>
      </c>
      <c r="I15" s="505" t="s">
        <v>50</v>
      </c>
      <c r="J15" s="506">
        <f ca="1">TODAY()</f>
        <v>40878</v>
      </c>
      <c r="K15" s="50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IQ15" s="13">
        <f>IF(Data!D92="","",Data!D92)</f>
        <v>0</v>
      </c>
    </row>
    <row r="16" spans="1:251" ht="12.75">
      <c r="A16" s="496" t="s">
        <v>1041</v>
      </c>
      <c r="B16" s="497">
        <f>IF(Input!$B$10="","",Input!$B$10)</f>
      </c>
      <c r="C16" s="498"/>
      <c r="D16" s="1021"/>
      <c r="E16" s="500">
        <v>3</v>
      </c>
      <c r="F16" s="501">
        <f>IF(Input!$C$66="","",Input!$C$66)</f>
      </c>
      <c r="G16" s="500">
        <v>7</v>
      </c>
      <c r="H16" s="501">
        <f>IF(Input!$E$66="","",Input!$E$66)</f>
      </c>
      <c r="I16" s="496" t="s">
        <v>1034</v>
      </c>
      <c r="J16" s="507">
        <f>IF(Input!$B$30="","",Input!$B$30)</f>
      </c>
      <c r="K16" s="508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IQ16" s="13">
        <f>IF(Data!D93="","",Data!D93)</f>
        <v>0</v>
      </c>
    </row>
    <row r="17" spans="1:251" ht="12.75">
      <c r="A17" s="496" t="s">
        <v>1004</v>
      </c>
      <c r="B17" s="497">
        <f>IF(Input!$E$5="","",Input!$E$5)</f>
      </c>
      <c r="C17" s="498"/>
      <c r="D17" s="1022"/>
      <c r="E17" s="500">
        <v>4</v>
      </c>
      <c r="F17" s="501">
        <f>IF(Input!$C$67="","",Input!$C$67)</f>
      </c>
      <c r="G17" s="500">
        <v>8</v>
      </c>
      <c r="H17" s="501">
        <f>IF(Input!$E$67="","",Input!$E$67)</f>
      </c>
      <c r="I17" s="496" t="s">
        <v>1035</v>
      </c>
      <c r="J17" s="507">
        <f>IF(Input!$B$31="","",Input!$B$31)</f>
      </c>
      <c r="K17" s="508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IQ17" s="13">
        <f>IF(Data!D94="","",Data!D94)</f>
        <v>0</v>
      </c>
    </row>
    <row r="18" spans="1:251" ht="12.75">
      <c r="A18" s="510" t="s">
        <v>49</v>
      </c>
      <c r="B18" s="497">
        <f>IF(Input!$E$6="","",Input!$E$6)</f>
      </c>
      <c r="C18" s="498"/>
      <c r="D18" s="496" t="s">
        <v>1017</v>
      </c>
      <c r="E18" s="511">
        <f>IF(Input!$B$68="","",Input!$B$68)</f>
      </c>
      <c r="F18" s="512"/>
      <c r="G18" s="512"/>
      <c r="H18" s="512"/>
      <c r="I18" s="496" t="s">
        <v>1030</v>
      </c>
      <c r="J18" s="507">
        <f>IF(Input!$B$32="","",Input!$B$32)</f>
      </c>
      <c r="K18" s="508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IQ18" s="13">
        <f>IF(Data!D95="","",Data!D95)</f>
        <v>0</v>
      </c>
    </row>
    <row r="19" spans="1:251" ht="12.75">
      <c r="A19" s="510" t="s">
        <v>106</v>
      </c>
      <c r="B19" s="497">
        <f>IF(Input!$E$7="","",Input!$E$7)</f>
      </c>
      <c r="C19" s="498"/>
      <c r="D19" s="496" t="s">
        <v>1018</v>
      </c>
      <c r="E19" s="511">
        <f>IF(Input!$B$69="","",Input!$B$69)</f>
      </c>
      <c r="F19" s="512"/>
      <c r="G19" s="512"/>
      <c r="H19" s="512"/>
      <c r="I19" s="496" t="s">
        <v>1036</v>
      </c>
      <c r="J19" s="507">
        <f>IF(Input!$B$33="","",Input!$B$33)</f>
      </c>
      <c r="K19" s="508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IQ19" s="13">
        <f>IF(Data!D96="","",Data!D96)</f>
        <v>0</v>
      </c>
    </row>
    <row r="20" spans="1:251" ht="12.75">
      <c r="A20" s="510" t="s">
        <v>48</v>
      </c>
      <c r="B20" s="497">
        <f>IF(Input!$E$8="","",Input!$E$8)</f>
      </c>
      <c r="C20" s="498"/>
      <c r="D20" s="496" t="s">
        <v>1019</v>
      </c>
      <c r="E20" s="511">
        <f>IF(Input!$B$70="","",Input!$B$70)</f>
      </c>
      <c r="F20" s="512"/>
      <c r="G20" s="512"/>
      <c r="H20" s="512"/>
      <c r="I20" s="496" t="s">
        <v>1033</v>
      </c>
      <c r="J20" s="507">
        <f>IF(Input!$B$34="","",Input!$B$34)</f>
      </c>
      <c r="K20" s="508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IQ20" s="13">
        <f>IF(Data!D97="","",Data!D97)</f>
        <v>0</v>
      </c>
    </row>
    <row r="21" spans="1:251" ht="12.75">
      <c r="A21" s="496" t="s">
        <v>1039</v>
      </c>
      <c r="B21" s="497">
        <f>IF(Input!$B$37="","",Input!$B$37)</f>
      </c>
      <c r="C21" s="498"/>
      <c r="D21" s="496" t="s">
        <v>1020</v>
      </c>
      <c r="E21" s="511">
        <f>IF(Input!$B$71="","",Input!$B$71)</f>
      </c>
      <c r="F21" s="512"/>
      <c r="G21" s="512"/>
      <c r="H21" s="512"/>
      <c r="I21" s="496" t="s">
        <v>1037</v>
      </c>
      <c r="J21" s="507">
        <f>IF(Input!$B$35="","",Input!$B$35)</f>
      </c>
      <c r="K21" s="508"/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IQ21" s="13">
        <f>IF(Data!D98="","",Data!D98)</f>
        <v>0</v>
      </c>
    </row>
    <row r="22" spans="1:251" ht="12.75">
      <c r="A22" s="496" t="s">
        <v>98</v>
      </c>
      <c r="B22" s="573"/>
      <c r="C22" s="574"/>
      <c r="D22" s="496" t="s">
        <v>1021</v>
      </c>
      <c r="E22" s="511">
        <f>IF(Input!$B$72="","",Input!$B$72)</f>
      </c>
      <c r="F22" s="512"/>
      <c r="G22" s="512"/>
      <c r="H22" s="512"/>
      <c r="I22" s="496" t="s">
        <v>1038</v>
      </c>
      <c r="J22" s="507">
        <f>IF(Input!$B$36="","",Input!$B$36)</f>
      </c>
      <c r="K22" s="508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IQ22" s="13">
        <f>IF(Data!D99="","",Data!D99)</f>
        <v>0</v>
      </c>
    </row>
    <row r="23" spans="1:251" ht="12.75">
      <c r="A23" s="496" t="s">
        <v>104</v>
      </c>
      <c r="B23" s="497">
        <f>IF(Input!$B$9="","",Input!$B$9)</f>
      </c>
      <c r="C23" s="498"/>
      <c r="D23" s="496" t="s">
        <v>1022</v>
      </c>
      <c r="E23" s="511">
        <f>IF(Input!$B$73="","",Input!$B$73)</f>
      </c>
      <c r="F23" s="512"/>
      <c r="G23" s="512"/>
      <c r="H23" s="512"/>
      <c r="I23" s="513"/>
      <c r="J23" s="514"/>
      <c r="K23" s="515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IQ23" s="13">
        <f>IF(Data!D100="","",Data!D100)</f>
        <v>0</v>
      </c>
    </row>
    <row r="24" spans="1:251" ht="12.75">
      <c r="A24" s="496" t="s">
        <v>105</v>
      </c>
      <c r="B24" s="516">
        <f>'Setup Bm Input'!$B$34</f>
      </c>
      <c r="C24" s="498" t="str">
        <f>IF(Input!$B$6="","",IF(Input!$B$6="E","in.",IF(Input!$B$6="M","mm")))</f>
        <v>in.</v>
      </c>
      <c r="D24" s="496" t="s">
        <v>1024</v>
      </c>
      <c r="E24" s="511">
        <f>IF('Setup Bm Input'!$A$46="","",'Setup Bm Input'!$A$46)</f>
      </c>
      <c r="F24" s="512"/>
      <c r="G24" s="512"/>
      <c r="H24" s="512"/>
      <c r="I24" s="517"/>
      <c r="J24" s="518"/>
      <c r="K24" s="515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IQ24" s="13">
        <f>IF(Data!D101="","",Data!D101)</f>
        <v>0</v>
      </c>
    </row>
    <row r="25" spans="1:251" ht="15.75">
      <c r="A25" s="589"/>
      <c r="B25" s="590"/>
      <c r="C25" s="590"/>
      <c r="D25" s="589"/>
      <c r="E25" s="591"/>
      <c r="F25" s="512"/>
      <c r="G25" s="512"/>
      <c r="H25" s="512"/>
      <c r="I25" s="517"/>
      <c r="J25" s="518"/>
      <c r="K25" s="515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IQ25" s="13">
        <f>IF(Data!D102="","",Data!D102)</f>
        <v>0</v>
      </c>
    </row>
    <row r="26" spans="1:251" ht="15.75">
      <c r="A26" s="517"/>
      <c r="B26" s="652"/>
      <c r="C26" s="652"/>
      <c r="D26" s="517"/>
      <c r="E26" s="653"/>
      <c r="F26" s="512"/>
      <c r="G26" s="512"/>
      <c r="H26" s="512"/>
      <c r="I26" s="517"/>
      <c r="J26" s="518"/>
      <c r="K26" s="515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IQ26" s="13"/>
    </row>
    <row r="27" spans="1:251" ht="12.75">
      <c r="A27" s="1031" t="s">
        <v>108</v>
      </c>
      <c r="B27" s="1032"/>
      <c r="C27" s="1032"/>
      <c r="D27" s="1032"/>
      <c r="E27" s="1032"/>
      <c r="F27" s="1032"/>
      <c r="G27" s="1032"/>
      <c r="H27" s="1032"/>
      <c r="I27" s="1032"/>
      <c r="J27" s="1032"/>
      <c r="K27" s="1032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IQ27" s="13">
        <f>IF(Data!D103="","",Data!D103)</f>
        <v>0</v>
      </c>
    </row>
    <row r="28" spans="1:251" ht="15.75">
      <c r="A28" s="580" t="s">
        <v>825</v>
      </c>
      <c r="B28" s="493"/>
      <c r="C28" s="493"/>
      <c r="D28" s="493"/>
      <c r="E28" s="503"/>
      <c r="F28" s="493"/>
      <c r="G28" s="494" t="s">
        <v>831</v>
      </c>
      <c r="H28" s="494"/>
      <c r="I28" s="503"/>
      <c r="J28" s="629"/>
      <c r="K28" s="629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IQ28" s="13"/>
    </row>
    <row r="29" spans="1:251" ht="15.75">
      <c r="A29" s="494" t="s">
        <v>1093</v>
      </c>
      <c r="B29" s="493"/>
      <c r="C29" s="503"/>
      <c r="D29" s="503"/>
      <c r="E29" s="503"/>
      <c r="F29" s="493"/>
      <c r="G29" s="494" t="s">
        <v>832</v>
      </c>
      <c r="H29" s="494"/>
      <c r="I29" s="493"/>
      <c r="J29" s="629"/>
      <c r="K29" s="629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IQ29" s="13"/>
    </row>
    <row r="30" spans="1:251" ht="15.75">
      <c r="A30" s="494" t="s">
        <v>807</v>
      </c>
      <c r="B30" s="493"/>
      <c r="C30" s="493"/>
      <c r="D30" s="503"/>
      <c r="E30" s="503"/>
      <c r="F30" s="493"/>
      <c r="G30" s="494" t="s">
        <v>810</v>
      </c>
      <c r="H30" s="494"/>
      <c r="I30" s="493"/>
      <c r="J30" s="629"/>
      <c r="K30" s="629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IQ30" s="13"/>
    </row>
    <row r="31" spans="1:251" ht="15.75">
      <c r="A31" s="528" t="s">
        <v>1127</v>
      </c>
      <c r="B31" s="494"/>
      <c r="C31" s="503"/>
      <c r="D31" s="503"/>
      <c r="E31" s="503"/>
      <c r="F31" s="493"/>
      <c r="G31" s="494" t="s">
        <v>811</v>
      </c>
      <c r="H31" s="494"/>
      <c r="I31" s="493"/>
      <c r="J31" s="629"/>
      <c r="K31" s="629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IQ31" s="13"/>
    </row>
    <row r="32" spans="1:251" ht="15.75">
      <c r="A32" s="528" t="s">
        <v>826</v>
      </c>
      <c r="B32" s="494"/>
      <c r="C32" s="503"/>
      <c r="D32" s="503"/>
      <c r="E32" s="503"/>
      <c r="F32" s="493"/>
      <c r="G32" s="494" t="s">
        <v>1096</v>
      </c>
      <c r="H32" s="494"/>
      <c r="I32" s="629"/>
      <c r="J32" s="629"/>
      <c r="K32" s="629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IQ32" s="13"/>
    </row>
    <row r="33" spans="1:251" ht="15.75">
      <c r="A33" s="528" t="s">
        <v>827</v>
      </c>
      <c r="B33" s="493"/>
      <c r="C33" s="503"/>
      <c r="D33" s="503"/>
      <c r="E33" s="503"/>
      <c r="F33" s="493"/>
      <c r="G33" s="494" t="s">
        <v>1135</v>
      </c>
      <c r="H33" s="494"/>
      <c r="I33" s="629"/>
      <c r="J33" s="629"/>
      <c r="K33" s="629"/>
      <c r="L33" s="493"/>
      <c r="M33" s="493"/>
      <c r="N33" s="493"/>
      <c r="O33" s="493"/>
      <c r="P33" s="493"/>
      <c r="Q33" s="493"/>
      <c r="R33" s="493"/>
      <c r="S33" s="493"/>
      <c r="T33" s="493"/>
      <c r="U33" s="493"/>
      <c r="V33" s="493"/>
      <c r="W33" s="493"/>
      <c r="X33" s="493"/>
      <c r="Y33" s="493"/>
      <c r="Z33" s="493"/>
      <c r="AA33" s="493"/>
      <c r="AB33" s="493"/>
      <c r="IQ33" s="13"/>
    </row>
    <row r="34" spans="1:251" ht="15.75">
      <c r="A34" s="528" t="s">
        <v>828</v>
      </c>
      <c r="B34" s="494"/>
      <c r="C34" s="493"/>
      <c r="D34" s="503"/>
      <c r="E34" s="503"/>
      <c r="F34" s="493"/>
      <c r="G34" s="494" t="s">
        <v>1154</v>
      </c>
      <c r="H34" s="494"/>
      <c r="I34" s="629"/>
      <c r="J34" s="629"/>
      <c r="K34" s="629"/>
      <c r="L34" s="493"/>
      <c r="M34" s="493"/>
      <c r="N34" s="493"/>
      <c r="O34" s="493"/>
      <c r="P34" s="493"/>
      <c r="Q34" s="493"/>
      <c r="R34" s="493"/>
      <c r="S34" s="493"/>
      <c r="T34" s="493"/>
      <c r="U34" s="493"/>
      <c r="V34" s="493"/>
      <c r="W34" s="493"/>
      <c r="X34" s="493"/>
      <c r="Y34" s="493"/>
      <c r="Z34" s="493"/>
      <c r="AA34" s="493"/>
      <c r="AB34" s="493"/>
      <c r="IQ34" s="13"/>
    </row>
    <row r="35" spans="1:251" ht="15.75">
      <c r="A35" s="528" t="s">
        <v>829</v>
      </c>
      <c r="B35" s="493"/>
      <c r="C35" s="503"/>
      <c r="D35" s="503"/>
      <c r="E35" s="503"/>
      <c r="F35" s="493"/>
      <c r="G35" s="494" t="s">
        <v>1097</v>
      </c>
      <c r="H35" s="493"/>
      <c r="I35" s="494"/>
      <c r="J35" s="503"/>
      <c r="K35" s="629"/>
      <c r="L35" s="493"/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IQ35" s="13"/>
    </row>
    <row r="36" spans="1:251" ht="15.75">
      <c r="A36" s="528" t="s">
        <v>830</v>
      </c>
      <c r="B36" s="493"/>
      <c r="C36" s="493"/>
      <c r="D36" s="503"/>
      <c r="E36" s="493"/>
      <c r="F36" s="493"/>
      <c r="G36" s="494" t="s">
        <v>1098</v>
      </c>
      <c r="H36" s="493"/>
      <c r="I36" s="493"/>
      <c r="J36" s="493"/>
      <c r="K36" s="629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IQ36" s="13"/>
    </row>
    <row r="37" spans="1:251" ht="12.75">
      <c r="A37" s="493"/>
      <c r="B37" s="494"/>
      <c r="C37" s="503"/>
      <c r="D37" s="493"/>
      <c r="E37" s="503"/>
      <c r="F37" s="493"/>
      <c r="G37" s="493"/>
      <c r="H37" s="493"/>
      <c r="I37" s="493"/>
      <c r="J37" s="493"/>
      <c r="K37" s="629"/>
      <c r="L37" s="493"/>
      <c r="M37" s="493"/>
      <c r="N37" s="493"/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IQ37" s="13"/>
    </row>
    <row r="38" spans="1:251" ht="12.75">
      <c r="A38" s="494"/>
      <c r="B38" s="494"/>
      <c r="C38" s="503"/>
      <c r="D38" s="493"/>
      <c r="E38" s="503"/>
      <c r="F38" s="493"/>
      <c r="G38" s="493"/>
      <c r="H38" s="493"/>
      <c r="I38" s="493"/>
      <c r="J38" s="493"/>
      <c r="K38" s="629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IQ38" s="13"/>
    </row>
    <row r="39" spans="1:251" ht="12.75">
      <c r="A39" s="493" t="s">
        <v>55</v>
      </c>
      <c r="B39" s="494"/>
      <c r="C39" s="503"/>
      <c r="D39" s="493"/>
      <c r="E39" s="503"/>
      <c r="F39" s="494"/>
      <c r="G39" s="493"/>
      <c r="H39" s="493"/>
      <c r="I39" s="493"/>
      <c r="J39" s="493"/>
      <c r="K39" s="629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IQ39" s="13"/>
    </row>
    <row r="40" spans="1:251" ht="12.75">
      <c r="A40" s="493"/>
      <c r="B40" s="494"/>
      <c r="C40" s="503"/>
      <c r="D40" s="503"/>
      <c r="E40" s="503"/>
      <c r="F40" s="493"/>
      <c r="G40" s="494"/>
      <c r="H40" s="503"/>
      <c r="I40" s="494"/>
      <c r="J40" s="493"/>
      <c r="K40" s="629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IQ40" s="13"/>
    </row>
    <row r="41" spans="1:251" ht="12.75">
      <c r="A41" s="1031" t="s">
        <v>1155</v>
      </c>
      <c r="B41" s="1032"/>
      <c r="C41" s="1032"/>
      <c r="D41" s="1032"/>
      <c r="E41" s="1032"/>
      <c r="F41" s="1032"/>
      <c r="G41" s="1032"/>
      <c r="H41" s="1032"/>
      <c r="I41" s="1032"/>
      <c r="J41" s="1032"/>
      <c r="K41" s="1032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IQ41" s="13"/>
    </row>
    <row r="42" spans="1:251" ht="12.75">
      <c r="A42" s="654"/>
      <c r="B42" s="494"/>
      <c r="C42" s="503"/>
      <c r="D42" s="503"/>
      <c r="E42" s="503"/>
      <c r="F42" s="493"/>
      <c r="G42" s="494"/>
      <c r="H42" s="503"/>
      <c r="I42" s="493"/>
      <c r="J42" s="493"/>
      <c r="K42" s="629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IQ42" s="13"/>
    </row>
    <row r="43" spans="1:251" ht="15.75">
      <c r="A43" s="654"/>
      <c r="B43" s="493"/>
      <c r="C43" s="629" t="s">
        <v>1156</v>
      </c>
      <c r="D43" s="655" t="s">
        <v>997</v>
      </c>
      <c r="E43" s="656" t="s">
        <v>812</v>
      </c>
      <c r="F43" s="567" t="str">
        <f>IF(Input!$B$6="","",IF(Input!$B$6="E","in.",IF(Input!$B$6="M","mm")))</f>
        <v>in.</v>
      </c>
      <c r="G43" s="614" t="s">
        <v>1113</v>
      </c>
      <c r="H43" s="560">
        <f>+'Setup Bm Input'!B34</f>
      </c>
      <c r="I43" s="567" t="str">
        <f>IF(Input!$B$6="","",IF(Input!$B$6="E","in.",IF(Input!$B$6="M","mm")))</f>
        <v>in.</v>
      </c>
      <c r="J43" s="629"/>
      <c r="K43" s="629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IQ43" s="13"/>
    </row>
    <row r="44" spans="1:251" ht="15.75">
      <c r="A44" s="654"/>
      <c r="B44" s="493"/>
      <c r="C44" s="629" t="s">
        <v>1132</v>
      </c>
      <c r="D44" s="655"/>
      <c r="E44" s="255" t="s">
        <v>1053</v>
      </c>
      <c r="F44" s="629"/>
      <c r="G44" s="493"/>
      <c r="H44" s="657"/>
      <c r="I44" s="629"/>
      <c r="J44" s="629"/>
      <c r="K44" s="629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IQ44" s="13"/>
    </row>
    <row r="45" spans="1:251" ht="14.25">
      <c r="A45" s="654"/>
      <c r="B45" s="493"/>
      <c r="C45" s="493"/>
      <c r="D45" s="493"/>
      <c r="E45" s="493"/>
      <c r="F45" s="493"/>
      <c r="G45" s="559" t="s">
        <v>1158</v>
      </c>
      <c r="H45" s="559" t="s">
        <v>787</v>
      </c>
      <c r="I45" s="658"/>
      <c r="J45" s="629"/>
      <c r="K45" s="629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IQ45" s="13"/>
    </row>
    <row r="46" spans="1:251" ht="15.75">
      <c r="A46" s="597"/>
      <c r="B46" s="493"/>
      <c r="C46" s="493"/>
      <c r="D46" s="493"/>
      <c r="E46" s="559" t="s">
        <v>1080</v>
      </c>
      <c r="F46" s="635" t="s">
        <v>1081</v>
      </c>
      <c r="G46" s="600" t="s">
        <v>1157</v>
      </c>
      <c r="H46" s="600" t="s">
        <v>1159</v>
      </c>
      <c r="I46" s="559" t="s">
        <v>116</v>
      </c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IQ46" s="13">
        <f>IF(Data!D104="","",Data!D104)</f>
        <v>0</v>
      </c>
    </row>
    <row r="47" spans="1:251" ht="12.75">
      <c r="A47" s="493"/>
      <c r="B47" s="493"/>
      <c r="C47" s="601" t="s">
        <v>113</v>
      </c>
      <c r="D47" s="560" t="s">
        <v>115</v>
      </c>
      <c r="E47" s="560" t="str">
        <f>IF(Input!$B$6="","",IF(Input!$B$6="E","Area (sq. in.)",IF(Input!$B$6="M","Area (sq. mm)")))</f>
        <v>Area (sq. in.)</v>
      </c>
      <c r="F47" s="602" t="str">
        <f>IF(Input!$B$6="","",IF(Input!$B$6="E","Mod. El. (psi)",IF(Input!$B$6="M","Mod. El. (kPA)")))</f>
        <v>Mod. El. (psi)</v>
      </c>
      <c r="G47" s="637" t="str">
        <f>IF(Input!$B$6="","",IF(Input!$B$6="E","Load (lbs.)",IF(Input!$B$6="M","Load (N)")))</f>
        <v>Load (lbs.)</v>
      </c>
      <c r="H47" s="638" t="str">
        <f>IF(Input!$B$6="","",IF(Input!$B$6="E","(lbs.)",IF(Input!$B$6="M","(N)")))</f>
        <v>(lbs.)</v>
      </c>
      <c r="I47" s="640" t="str">
        <f>IF(Input!$B$6="","",IF(Input!$B$6="E","(in.)",IF(Input!$B$6="M","(mm)")))</f>
        <v>(in.)</v>
      </c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IQ47" s="13">
        <f>IF(Data!D105="","",Data!D105)</f>
        <v>0</v>
      </c>
    </row>
    <row r="48" spans="1:251" ht="12.75">
      <c r="A48" s="493"/>
      <c r="B48" s="493"/>
      <c r="C48" s="560" t="s">
        <v>90</v>
      </c>
      <c r="D48" s="594">
        <f>+IF('Setup Bm Input'!B63="","",'Setup Bm Input'!B63)</f>
      </c>
      <c r="E48" s="594">
        <f>+IF('Setup Bm Input'!D63="","",'Setup Bm Input'!D63)</f>
      </c>
      <c r="F48" s="594">
        <f>+IF('Setup Bm Input'!E63="","",'Setup Bm Input'!E63)</f>
      </c>
      <c r="G48" s="605">
        <f>+IF(E48="","",'Setup Bm Input'!$B$29)</f>
      </c>
      <c r="H48" s="605">
        <f>+IF(E48="","",'Setup Bm Input'!$B$30)</f>
      </c>
      <c r="I48" s="659">
        <f>+IF(E48="","",IF(Input!$B$6="E",((G48-H48)*$H$43)/(E48*F48),((G48-H48)*$H$43)/(E48*F48)*1000))</f>
      </c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IQ48" s="13">
        <f>IF(Data!D106="","",Data!D106)</f>
        <v>0</v>
      </c>
    </row>
    <row r="49" spans="1:251" ht="12.75">
      <c r="A49" s="493"/>
      <c r="B49" s="493"/>
      <c r="C49" s="560" t="s">
        <v>91</v>
      </c>
      <c r="D49" s="594">
        <f>+IF('Setup Bm Input'!B64="","",'Setup Bm Input'!B64)</f>
      </c>
      <c r="E49" s="594">
        <f>+IF('Setup Bm Input'!D64="","",'Setup Bm Input'!D64)</f>
      </c>
      <c r="F49" s="594">
        <f>+IF('Setup Bm Input'!E64="","",'Setup Bm Input'!E64)</f>
      </c>
      <c r="G49" s="605">
        <f>+IF(E49="","",'Setup Bm Input'!$B$29)</f>
      </c>
      <c r="H49" s="605">
        <f>+IF(E49="","",'Setup Bm Input'!$B$30)</f>
      </c>
      <c r="I49" s="659">
        <f>+IF(E49="","",IF(Input!$B$6="E",((G49-H49)*$H$43)/(E49*F49),((G49-H49)*$H$43)/(E49*F49)*1000))</f>
      </c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IQ49" s="13">
        <f>IF(Data!D107="","",Data!D107)</f>
        <v>0</v>
      </c>
    </row>
    <row r="50" spans="1:251" ht="12.75">
      <c r="A50" s="493"/>
      <c r="B50" s="493"/>
      <c r="C50" s="560" t="s">
        <v>92</v>
      </c>
      <c r="D50" s="594">
        <f>+IF('Setup Bm Input'!B65="","",'Setup Bm Input'!B65)</f>
      </c>
      <c r="E50" s="594">
        <f>+IF('Setup Bm Input'!D65="","",'Setup Bm Input'!D65)</f>
      </c>
      <c r="F50" s="594">
        <f>+IF('Setup Bm Input'!E65="","",'Setup Bm Input'!E65)</f>
      </c>
      <c r="G50" s="605">
        <f>+IF(E50="","",'Setup Bm Input'!$B$29)</f>
      </c>
      <c r="H50" s="605">
        <f>+IF(E50="","",'Setup Bm Input'!$B$30)</f>
      </c>
      <c r="I50" s="659">
        <f>+IF(E50="","",IF(Input!$B$6="E",((G50-H50)*$H$43)/(E50*F50),((G50-H50)*$H$43)/(E50*F50)*1000))</f>
      </c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IQ50" s="13">
        <f>IF(Data!D108="","",Data!D108)</f>
        <v>0</v>
      </c>
    </row>
    <row r="51" spans="1:251" ht="12.75">
      <c r="A51" s="493"/>
      <c r="B51" s="493"/>
      <c r="C51" s="560" t="s">
        <v>93</v>
      </c>
      <c r="D51" s="594">
        <f>+IF('Setup Bm Input'!B66="","",'Setup Bm Input'!B66)</f>
      </c>
      <c r="E51" s="594">
        <f>+IF('Setup Bm Input'!D66="","",'Setup Bm Input'!D66)</f>
      </c>
      <c r="F51" s="594">
        <f>+IF('Setup Bm Input'!E66="","",'Setup Bm Input'!E66)</f>
      </c>
      <c r="G51" s="605">
        <f>+IF(E51="","",'Setup Bm Input'!$B$29)</f>
      </c>
      <c r="H51" s="605">
        <f>+IF(E51="","",'Setup Bm Input'!$B$30)</f>
      </c>
      <c r="I51" s="659">
        <f>+IF(E51="","",IF(Input!$B$6="E",((G51-H51)*$H$43)/(E51*F51),((G51-H51)*$H$43)/(E51*F51)*1000))</f>
      </c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IQ51" s="13">
        <f>IF(Data!D109="","",Data!D109)</f>
        <v>0</v>
      </c>
    </row>
    <row r="52" spans="1:251" ht="12.75">
      <c r="A52" s="493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IQ52" s="13">
        <f>IF(Data!D110="","",Data!D110)</f>
        <v>0</v>
      </c>
    </row>
    <row r="53" spans="1:28" ht="12.75">
      <c r="A53" s="1031" t="s">
        <v>1223</v>
      </c>
      <c r="B53" s="1032"/>
      <c r="C53" s="1032"/>
      <c r="D53" s="1032"/>
      <c r="E53" s="1032"/>
      <c r="F53" s="1032"/>
      <c r="G53" s="1032"/>
      <c r="H53" s="1032"/>
      <c r="I53" s="1032"/>
      <c r="J53" s="1032"/>
      <c r="K53" s="1032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</row>
    <row r="54" spans="1:28" ht="12.75">
      <c r="A54" s="493"/>
      <c r="B54" s="549"/>
      <c r="C54" s="549"/>
      <c r="D54" s="549">
        <f>IF(C2="","",C2)</f>
      </c>
      <c r="E54" s="549">
        <f>IF(D2="","",D2)</f>
      </c>
      <c r="F54" s="549"/>
      <c r="G54" s="549"/>
      <c r="H54" s="549"/>
      <c r="I54" s="567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</row>
    <row r="55" spans="1:28" ht="12.75">
      <c r="A55" s="493"/>
      <c r="B55" s="602"/>
      <c r="C55" s="660"/>
      <c r="D55" s="661" t="s">
        <v>1226</v>
      </c>
      <c r="E55" s="660"/>
      <c r="F55" s="660"/>
      <c r="G55" s="635" t="s">
        <v>1227</v>
      </c>
      <c r="H55" s="662"/>
      <c r="I55" s="661" t="s">
        <v>1228</v>
      </c>
      <c r="J55" s="616"/>
      <c r="K55" s="559" t="s">
        <v>1227</v>
      </c>
      <c r="L55" s="493"/>
      <c r="M55" s="493"/>
      <c r="N55" s="493"/>
      <c r="O55" s="493"/>
      <c r="P55" s="493"/>
      <c r="Q55" s="493"/>
      <c r="R55" s="493"/>
      <c r="S55" s="493"/>
      <c r="T55" s="493"/>
      <c r="U55" s="493"/>
      <c r="V55" s="493"/>
      <c r="W55" s="493"/>
      <c r="X55" s="493"/>
      <c r="Y55" s="493"/>
      <c r="Z55" s="493"/>
      <c r="AA55" s="493"/>
      <c r="AB55" s="493"/>
    </row>
    <row r="56" spans="1:28" ht="14.25">
      <c r="A56" s="493"/>
      <c r="B56" s="559" t="s">
        <v>1160</v>
      </c>
      <c r="C56" s="559" t="s">
        <v>1133</v>
      </c>
      <c r="D56" s="559" t="s">
        <v>1084</v>
      </c>
      <c r="E56" s="559" t="s">
        <v>1122</v>
      </c>
      <c r="F56" s="635" t="s">
        <v>1161</v>
      </c>
      <c r="G56" s="663" t="s">
        <v>1162</v>
      </c>
      <c r="H56" s="664" t="s">
        <v>1163</v>
      </c>
      <c r="I56" s="559" t="s">
        <v>1164</v>
      </c>
      <c r="J56" s="559" t="s">
        <v>1165</v>
      </c>
      <c r="K56" s="559" t="s">
        <v>1166</v>
      </c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</row>
    <row r="57" spans="1:28" ht="12.75">
      <c r="A57" s="560" t="s">
        <v>113</v>
      </c>
      <c r="B57" s="638" t="str">
        <f>IF(Input!$B$6="","",IF(Input!$B$6="E","(in.)",IF(Input!$B$6="M","(mm)")))</f>
        <v>(in.)</v>
      </c>
      <c r="C57" s="638" t="str">
        <f>IF(Input!$B$6="","",IF(Input!$B$6="E","(in.)",IF(Input!$B$6="M","(mm)")))</f>
        <v>(in.)</v>
      </c>
      <c r="D57" s="638" t="str">
        <f>IF(Input!$B$6="","",IF(Input!$B$6="E","(in.)",IF(Input!$B$6="M","(mm)")))</f>
        <v>(in.)</v>
      </c>
      <c r="E57" s="638" t="str">
        <f>IF(Input!$B$6="","",IF(Input!$B$6="E","(in.)",IF(Input!$B$6="M","(mm)")))</f>
        <v>(in.)</v>
      </c>
      <c r="F57" s="638" t="str">
        <f>IF(Input!$B$6="","",IF(Input!$B$6="E","(in.)",IF(Input!$B$6="M","(mm)")))</f>
        <v>(in.)</v>
      </c>
      <c r="G57" s="665" t="str">
        <f>IF(Input!$B$6="","",IF(Input!$B$6="E","(in.)",IF(Input!$B$6="M","(mm)")))</f>
        <v>(in.)</v>
      </c>
      <c r="H57" s="637" t="str">
        <f>IF(Input!$B$6="","",IF(Input!$B$6="E","(in.)",IF(Input!$B$6="M","(mm)")))</f>
        <v>(in.)</v>
      </c>
      <c r="I57" s="560" t="str">
        <f>IF(Input!$B$6="","",IF(Input!$B$6="E","(in.)",IF(Input!$B$6="M","(mm)")))</f>
        <v>(in.)</v>
      </c>
      <c r="J57" s="666" t="str">
        <f>IF(Input!$B$6="","",IF(Input!$B$6="E","(in.)",IF(Input!$B$6="M","(mm)")))</f>
        <v>(in.)</v>
      </c>
      <c r="K57" s="667" t="str">
        <f>IF(Input!$B$6="","",IF(Input!$B$6="E","(in.)",IF(Input!$B$6="M","(mm)")))</f>
        <v>(in.)</v>
      </c>
      <c r="L57" s="493"/>
      <c r="M57" s="493"/>
      <c r="N57" s="493"/>
      <c r="O57" s="493"/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3"/>
      <c r="AB57" s="493"/>
    </row>
    <row r="58" spans="1:28" ht="12.75">
      <c r="A58" s="560" t="s">
        <v>90</v>
      </c>
      <c r="B58" s="604">
        <f>+IF(E48="","",'Setup Bm Input'!$F$26)</f>
      </c>
      <c r="C58" s="604">
        <f>+IF(E48="","",IF(Thermal!F69="",0,Thermal!F69))</f>
      </c>
      <c r="D58" s="596">
        <f>+IF(E48="","",IF('Anch Move'!G56="",0,'Anch Move'!G56))</f>
      </c>
      <c r="E58" s="596">
        <f>+IF(E48="","",IF('Self Stress'!G56="",0,'Self Stress'!G56))</f>
      </c>
      <c r="F58" s="596">
        <f>+IF(E48="","",'Setup Bm Input'!$F$36)</f>
      </c>
      <c r="G58" s="668">
        <f>+IF(E48="","",B58+C58+D58+E58+F58)</f>
      </c>
      <c r="H58" s="669">
        <f>+IF(E48="","",'Setup Bm Input'!$I$26)</f>
      </c>
      <c r="I58" s="604">
        <f>+IF(E48="","",'Setup Bm Input'!$I$29)</f>
      </c>
      <c r="J58" s="596">
        <f>+IF(E48="","",'Setup Bm Input'!$I$31)</f>
      </c>
      <c r="K58" s="659">
        <f>+IF(E48="","",H58+I58+J58)</f>
      </c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</row>
    <row r="59" spans="1:28" ht="12.75">
      <c r="A59" s="560" t="s">
        <v>91</v>
      </c>
      <c r="B59" s="604">
        <f>+IF(E49="","",'Setup Bm Input'!$F$26)</f>
      </c>
      <c r="C59" s="604">
        <f>+IF(E49="","",IF(Thermal!F70="",0,Thermal!F70))</f>
      </c>
      <c r="D59" s="596">
        <f>+IF(E49="","",IF('Anch Move'!G57="",0,'Anch Move'!G57))</f>
      </c>
      <c r="E59" s="596">
        <f>+IF(E49="","",IF('Self Stress'!G57="",0,'Self Stress'!G57))</f>
      </c>
      <c r="F59" s="596">
        <f>+IF(E49="","",'Setup Bm Input'!$F$36)</f>
      </c>
      <c r="G59" s="668">
        <f>+IF(E49="","",B59+C59+D59+E59+F59)</f>
      </c>
      <c r="H59" s="669">
        <f>+IF(E49="","",'Setup Bm Input'!$I$26)</f>
      </c>
      <c r="I59" s="604">
        <f>+IF(E49="","",'Setup Bm Input'!$I$29)</f>
      </c>
      <c r="J59" s="596">
        <f>+IF(E49="","",'Setup Bm Input'!$I$31)</f>
      </c>
      <c r="K59" s="659">
        <f>+IF(E49="","",H59+I59+J59)</f>
      </c>
      <c r="L59" s="493"/>
      <c r="M59" s="493"/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</row>
    <row r="60" spans="1:28" ht="12.75">
      <c r="A60" s="560" t="s">
        <v>92</v>
      </c>
      <c r="B60" s="604">
        <f>+IF(E50="","",'Setup Bm Input'!$F$26)</f>
      </c>
      <c r="C60" s="604">
        <f>+IF(E50="","",IF(Thermal!F71="",0,Thermal!F71))</f>
      </c>
      <c r="D60" s="596">
        <f>+IF(E50="","",IF('Anch Move'!G58="",0,'Anch Move'!G58))</f>
      </c>
      <c r="E60" s="596">
        <f>+IF(E50="","",IF('Self Stress'!G58="",0,'Self Stress'!G58))</f>
      </c>
      <c r="F60" s="596">
        <f>+IF(E50="","",'Setup Bm Input'!$F$36)</f>
      </c>
      <c r="G60" s="668">
        <f>+IF(E50="","",B60+C60+D60+E60+F60)</f>
      </c>
      <c r="H60" s="669">
        <f>+IF(E50="","",'Setup Bm Input'!$I$26)</f>
      </c>
      <c r="I60" s="604">
        <f>+IF(E50="","",'Setup Bm Input'!$I$29)</f>
      </c>
      <c r="J60" s="596">
        <f>+IF(E50="","",'Setup Bm Input'!$I$31)</f>
      </c>
      <c r="K60" s="659">
        <f>+IF(E50="","",H60+I60+J60)</f>
      </c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</row>
    <row r="61" spans="1:28" ht="12.75">
      <c r="A61" s="560" t="s">
        <v>93</v>
      </c>
      <c r="B61" s="604">
        <f>+IF(E51="","",'Setup Bm Input'!$F$26)</f>
      </c>
      <c r="C61" s="604">
        <f>+IF(E51="","",IF(Thermal!F72="",0,Thermal!F72))</f>
      </c>
      <c r="D61" s="596">
        <f>+IF(E51="","",IF('Anch Move'!G59="",0,'Anch Move'!G59))</f>
      </c>
      <c r="E61" s="596">
        <f>+IF(E51="","",IF('Self Stress'!G59="",0,'Self Stress'!G59))</f>
      </c>
      <c r="F61" s="596">
        <f>+IF(E51="","",'Setup Bm Input'!$F$36)</f>
      </c>
      <c r="G61" s="668">
        <f>+IF(E51="","",B61+C61+D61+E61+F61)</f>
      </c>
      <c r="H61" s="669">
        <f>+IF(E51="","",'Setup Bm Input'!$I$26)</f>
      </c>
      <c r="I61" s="604">
        <f>+IF(E51="","",'Setup Bm Input'!$I$29)</f>
      </c>
      <c r="J61" s="596">
        <f>+IF(E51="","",'Setup Bm Input'!$I$31)</f>
      </c>
      <c r="K61" s="659">
        <f>+IF(E51="","",H61+I61+J61)</f>
      </c>
      <c r="L61" s="493"/>
      <c r="M61" s="493"/>
      <c r="N61" s="493"/>
      <c r="O61" s="493"/>
      <c r="P61" s="493"/>
      <c r="Q61" s="493"/>
      <c r="R61" s="493"/>
      <c r="S61" s="493"/>
      <c r="T61" s="493"/>
      <c r="U61" s="493"/>
      <c r="V61" s="493"/>
      <c r="W61" s="493"/>
      <c r="X61" s="493"/>
      <c r="Y61" s="493"/>
      <c r="Z61" s="493"/>
      <c r="AA61" s="493"/>
      <c r="AB61" s="493"/>
    </row>
    <row r="62" spans="1:28" ht="12.75">
      <c r="A62" s="493"/>
      <c r="B62" s="493"/>
      <c r="C62" s="493"/>
      <c r="D62" s="493"/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</row>
    <row r="63" spans="1:28" ht="12.75">
      <c r="A63" s="1031" t="s">
        <v>1168</v>
      </c>
      <c r="B63" s="1032"/>
      <c r="C63" s="1032"/>
      <c r="D63" s="1032"/>
      <c r="E63" s="1032"/>
      <c r="F63" s="1032"/>
      <c r="G63" s="1032"/>
      <c r="H63" s="1032"/>
      <c r="I63" s="1032"/>
      <c r="J63" s="1032"/>
      <c r="K63" s="1032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  <c r="AB63" s="493"/>
    </row>
    <row r="64" spans="1:28" ht="12.75">
      <c r="A64" s="493"/>
      <c r="B64" s="493"/>
      <c r="C64" s="493"/>
      <c r="D64" s="493"/>
      <c r="E64" s="493"/>
      <c r="F64" s="493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93"/>
      <c r="Y64" s="493"/>
      <c r="Z64" s="493"/>
      <c r="AA64" s="493"/>
      <c r="AB64" s="493"/>
    </row>
    <row r="65" spans="1:28" ht="15.75">
      <c r="A65" s="493"/>
      <c r="B65" s="493"/>
      <c r="C65" s="344" t="s">
        <v>1210</v>
      </c>
      <c r="D65" s="494" t="s">
        <v>1224</v>
      </c>
      <c r="E65" s="567" t="str">
        <f>IF(Input!$B$6="","",IF(Input!$B$6="E","in.",IF(Input!$B$6="M","mm")))</f>
        <v>in.</v>
      </c>
      <c r="F65" s="595" t="s">
        <v>1211</v>
      </c>
      <c r="G65" s="494" t="s">
        <v>1225</v>
      </c>
      <c r="H65" s="493"/>
      <c r="I65" s="567" t="str">
        <f>IF(Input!$B$6="","",IF(Input!$B$6="E","in.",IF(Input!$B$6="M","mm")))</f>
        <v>in.</v>
      </c>
      <c r="J65" s="493"/>
      <c r="K65" s="493"/>
      <c r="L65" s="493"/>
      <c r="M65" s="493"/>
      <c r="N65" s="493"/>
      <c r="O65" s="493"/>
      <c r="P65" s="493"/>
      <c r="Q65" s="493"/>
      <c r="R65" s="493"/>
      <c r="S65" s="493"/>
      <c r="T65" s="493"/>
      <c r="U65" s="493"/>
      <c r="V65" s="493"/>
      <c r="W65" s="493"/>
      <c r="X65" s="493"/>
      <c r="Y65" s="493"/>
      <c r="Z65" s="493"/>
      <c r="AA65" s="493"/>
      <c r="AB65" s="493"/>
    </row>
    <row r="66" spans="1:28" ht="12.75">
      <c r="A66" s="493"/>
      <c r="B66" s="493"/>
      <c r="C66" s="493"/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</row>
    <row r="67" spans="1:28" ht="14.25">
      <c r="A67" s="493"/>
      <c r="B67" s="493"/>
      <c r="C67" s="547" t="s">
        <v>112</v>
      </c>
      <c r="D67" s="635" t="s">
        <v>116</v>
      </c>
      <c r="E67" s="635" t="s">
        <v>1162</v>
      </c>
      <c r="F67" s="559" t="s">
        <v>1166</v>
      </c>
      <c r="G67" s="559" t="s">
        <v>1169</v>
      </c>
      <c r="H67" s="559" t="s">
        <v>1160</v>
      </c>
      <c r="I67" s="559" t="s">
        <v>1170</v>
      </c>
      <c r="J67" s="493"/>
      <c r="K67" s="493"/>
      <c r="L67" s="493"/>
      <c r="M67" s="493"/>
      <c r="N67" s="493"/>
      <c r="O67" s="493" t="s">
        <v>66</v>
      </c>
      <c r="P67" s="493"/>
      <c r="Q67" s="493"/>
      <c r="R67" s="493"/>
      <c r="S67" s="493"/>
      <c r="T67" s="493"/>
      <c r="U67" s="493"/>
      <c r="V67" s="493" t="s">
        <v>65</v>
      </c>
      <c r="W67" s="493"/>
      <c r="X67" s="493"/>
      <c r="Y67" s="493"/>
      <c r="Z67" s="493"/>
      <c r="AA67" s="493"/>
      <c r="AB67" s="493"/>
    </row>
    <row r="68" spans="1:32" ht="12.75">
      <c r="A68" s="493"/>
      <c r="B68" s="493"/>
      <c r="C68" s="670"/>
      <c r="D68" s="638" t="str">
        <f>IF(Input!$B$6="","",IF(Input!$B$6="E","(in.)",IF(Input!$B$6="M","(mm)")))</f>
        <v>(in.)</v>
      </c>
      <c r="E68" s="638" t="str">
        <f>IF(Input!$B$6="","",IF(Input!$B$6="E","(in.)",IF(Input!$B$6="M","(mm)")))</f>
        <v>(in.)</v>
      </c>
      <c r="F68" s="638" t="str">
        <f>IF(Input!$B$6="","",IF(Input!$B$6="E","(in.)",IF(Input!$B$6="M","(mm)")))</f>
        <v>(in.)</v>
      </c>
      <c r="G68" s="640" t="str">
        <f>IF(Input!$B$6="","",IF(Input!$B$6="E","(in.)",IF(Input!$B$6="M","(mm)")))</f>
        <v>(in.)</v>
      </c>
      <c r="H68" s="638" t="str">
        <f>IF(Input!$B$6="","",IF(Input!$B$6="E","(in.)",IF(Input!$B$6="M","(mm)")))</f>
        <v>(in.)</v>
      </c>
      <c r="I68" s="640" t="str">
        <f>IF(Input!$B$6="","",IF(Input!$B$6="E","(in.)",IF(Input!$B$6="M","(mm)")))</f>
        <v>(in.)</v>
      </c>
      <c r="J68" s="493"/>
      <c r="K68" s="493"/>
      <c r="L68" s="493"/>
      <c r="M68" s="493"/>
      <c r="N68" s="493"/>
      <c r="O68" s="560" t="str">
        <f>+C69</f>
        <v>A</v>
      </c>
      <c r="P68" s="560">
        <f>IF(G69="","",G69)</f>
      </c>
      <c r="Q68" s="560">
        <f>IF(P68="","",INT(P68))</f>
      </c>
      <c r="R68" s="671" t="e">
        <f>(P68-INT(P68))</f>
        <v>#VALUE!</v>
      </c>
      <c r="S68" s="560">
        <f>IF(P68="","",VLOOKUP(R68,Data!$A$365:$C$395,3,TRUE))</f>
      </c>
      <c r="T68" s="560" t="e">
        <f>IF(((P68-INT(P68))&gt;0.96875),(INT(P68)+1),Q68&amp;" "&amp;S68)</f>
        <v>#VALUE!</v>
      </c>
      <c r="U68" s="493"/>
      <c r="V68" s="560" t="str">
        <f>+C69</f>
        <v>A</v>
      </c>
      <c r="W68" s="596">
        <f>+I69</f>
      </c>
      <c r="X68" s="560">
        <f>IF(W68="","",INT(W68))</f>
      </c>
      <c r="Y68" s="671" t="e">
        <f>(W68-INT(W68))</f>
        <v>#VALUE!</v>
      </c>
      <c r="Z68" s="560">
        <f>IF(W68="","",VLOOKUP(Y68,Data!$A$365:$C$395,3,TRUE))</f>
      </c>
      <c r="AA68" s="560" t="e">
        <f>IF(((W68-INT(W68))&gt;0.96875),(INT(W68)+1),X68&amp;" "&amp;Z68)</f>
        <v>#VALUE!</v>
      </c>
      <c r="AB68" s="530"/>
      <c r="AC68" s="5"/>
      <c r="AD68" s="5"/>
      <c r="AE68" s="5"/>
      <c r="AF68" s="5"/>
    </row>
    <row r="69" spans="1:32" ht="12.75">
      <c r="A69" s="493"/>
      <c r="B69" s="493"/>
      <c r="C69" s="560" t="s">
        <v>90</v>
      </c>
      <c r="D69" s="672">
        <f>+I48</f>
      </c>
      <c r="E69" s="672">
        <f>+G58</f>
      </c>
      <c r="F69" s="672">
        <f>+K58</f>
      </c>
      <c r="G69" s="673">
        <f>+IF(E48="","",D69+E69+F69)</f>
      </c>
      <c r="H69" s="596">
        <f>+B58</f>
      </c>
      <c r="I69" s="659">
        <f>+IF(E48="","",G69-H69)</f>
      </c>
      <c r="J69" s="493"/>
      <c r="K69" s="493"/>
      <c r="L69" s="493"/>
      <c r="M69" s="493"/>
      <c r="N69" s="493"/>
      <c r="O69" s="560" t="str">
        <f>+C70</f>
        <v>B</v>
      </c>
      <c r="P69" s="560">
        <f>IF(G70="","",G70)</f>
      </c>
      <c r="Q69" s="560">
        <f>IF(P69="","",INT(P69))</f>
      </c>
      <c r="R69" s="671" t="e">
        <f>(P69-INT(P69))</f>
        <v>#VALUE!</v>
      </c>
      <c r="S69" s="560">
        <f>IF(P69="","",VLOOKUP(R69,Data!$A$365:$C$395,3,TRUE))</f>
      </c>
      <c r="T69" s="560" t="e">
        <f>IF(((P69-INT(P69))&gt;0.96875),(INT(P69)+1),Q69&amp;" "&amp;S69)</f>
        <v>#VALUE!</v>
      </c>
      <c r="U69" s="493"/>
      <c r="V69" s="560" t="str">
        <f>+C70</f>
        <v>B</v>
      </c>
      <c r="W69" s="596">
        <f>+I70</f>
      </c>
      <c r="X69" s="560">
        <f>IF(W69="","",INT(W69))</f>
      </c>
      <c r="Y69" s="671" t="e">
        <f>(W69-INT(W69))</f>
        <v>#VALUE!</v>
      </c>
      <c r="Z69" s="560">
        <f>IF(W69="","",VLOOKUP(Y69,Data!$A$365:$C$395,3,TRUE))</f>
      </c>
      <c r="AA69" s="560" t="e">
        <f>IF(((W69-INT(W69))&gt;0.96875),(INT(W69)+1),X69&amp;" "&amp;Z69)</f>
        <v>#VALUE!</v>
      </c>
      <c r="AB69" s="530"/>
      <c r="AC69" s="148"/>
      <c r="AD69" s="148"/>
      <c r="AE69" s="148"/>
      <c r="AF69" s="148"/>
    </row>
    <row r="70" spans="1:32" ht="12.75">
      <c r="A70" s="493"/>
      <c r="B70" s="493"/>
      <c r="C70" s="560" t="s">
        <v>91</v>
      </c>
      <c r="D70" s="672">
        <f>+I49</f>
      </c>
      <c r="E70" s="672">
        <f>+G59</f>
      </c>
      <c r="F70" s="672">
        <f>+K59</f>
      </c>
      <c r="G70" s="673">
        <f>+IF(E49="","",D70+E70+F70)</f>
      </c>
      <c r="H70" s="596">
        <f>+B59</f>
      </c>
      <c r="I70" s="659">
        <f>+IF(E49="","",G70-H70)</f>
      </c>
      <c r="J70" s="493"/>
      <c r="K70" s="493"/>
      <c r="L70" s="493"/>
      <c r="M70" s="493"/>
      <c r="N70" s="493"/>
      <c r="O70" s="560" t="str">
        <f>+C71</f>
        <v>C</v>
      </c>
      <c r="P70" s="560">
        <f>IF(G71="","",G71)</f>
      </c>
      <c r="Q70" s="560">
        <f>IF(P70="","",INT(P70))</f>
      </c>
      <c r="R70" s="671" t="e">
        <f>(P70-INT(P70))</f>
        <v>#VALUE!</v>
      </c>
      <c r="S70" s="560">
        <f>IF(P70="","",VLOOKUP(R70,Data!$A$365:$C$395,3,TRUE))</f>
      </c>
      <c r="T70" s="560" t="e">
        <f>IF(((P70-INT(P70))&gt;0.96875),(INT(P70)+1),Q70&amp;" "&amp;S70)</f>
        <v>#VALUE!</v>
      </c>
      <c r="U70" s="493"/>
      <c r="V70" s="560" t="str">
        <f>+C71</f>
        <v>C</v>
      </c>
      <c r="W70" s="596">
        <f>+I71</f>
      </c>
      <c r="X70" s="560">
        <f>IF(W70="","",INT(W70))</f>
      </c>
      <c r="Y70" s="671" t="e">
        <f>(W70-INT(W70))</f>
        <v>#VALUE!</v>
      </c>
      <c r="Z70" s="560">
        <f>IF(W70="","",VLOOKUP(Y70,Data!$A$365:$C$395,3,TRUE))</f>
      </c>
      <c r="AA70" s="560" t="e">
        <f>IF(((W70-INT(W70))&gt;0.96875),(INT(W70)+1),X70&amp;" "&amp;Z70)</f>
        <v>#VALUE!</v>
      </c>
      <c r="AB70" s="530"/>
      <c r="AC70" s="5"/>
      <c r="AD70" s="5"/>
      <c r="AE70" s="5"/>
      <c r="AF70" s="5"/>
    </row>
    <row r="71" spans="1:32" ht="12.75">
      <c r="A71" s="493"/>
      <c r="B71" s="493"/>
      <c r="C71" s="667" t="s">
        <v>92</v>
      </c>
      <c r="D71" s="672">
        <f>+I50</f>
      </c>
      <c r="E71" s="672">
        <f>+G60</f>
      </c>
      <c r="F71" s="672">
        <f>+K60</f>
      </c>
      <c r="G71" s="673">
        <f>+IF(E50="","",D71+E71+F71)</f>
      </c>
      <c r="H71" s="596">
        <f>+B60</f>
      </c>
      <c r="I71" s="659">
        <f>+IF(E50="","",G71-H71)</f>
      </c>
      <c r="J71" s="493"/>
      <c r="K71" s="493"/>
      <c r="L71" s="493"/>
      <c r="M71" s="493"/>
      <c r="N71" s="493"/>
      <c r="O71" s="560" t="str">
        <f>+C72</f>
        <v>D</v>
      </c>
      <c r="P71" s="599">
        <f>IF(G72="","",G72)</f>
      </c>
      <c r="Q71" s="599">
        <f>IF(P71="","",INT(P71))</f>
      </c>
      <c r="R71" s="674" t="e">
        <f>(P71-INT(P71))</f>
        <v>#VALUE!</v>
      </c>
      <c r="S71" s="599">
        <f>IF(P71="","",VLOOKUP(R71,Data!$A$365:$C$395,3,TRUE))</f>
      </c>
      <c r="T71" s="599" t="e">
        <f>IF(((P71-INT(P71))&gt;0.96875),(INT(P71)+1),Q71&amp;" "&amp;S71)</f>
        <v>#VALUE!</v>
      </c>
      <c r="U71" s="493"/>
      <c r="V71" s="560" t="str">
        <f>+C72</f>
        <v>D</v>
      </c>
      <c r="W71" s="596">
        <f>+I72</f>
      </c>
      <c r="X71" s="560">
        <f>IF(W71="","",INT(W71))</f>
      </c>
      <c r="Y71" s="671" t="e">
        <f>(W71-INT(W71))</f>
        <v>#VALUE!</v>
      </c>
      <c r="Z71" s="560">
        <f>IF(W71="","",VLOOKUP(Y71,Data!$A$365:$C$395,3,TRUE))</f>
      </c>
      <c r="AA71" s="560" t="e">
        <f>IF(((W71-INT(W71))&gt;0.96875),(INT(W71)+1),X71&amp;" "&amp;Z71)</f>
        <v>#VALUE!</v>
      </c>
      <c r="AB71" s="530"/>
      <c r="AC71" s="157"/>
      <c r="AD71" s="157"/>
      <c r="AE71" s="157"/>
      <c r="AF71" s="157"/>
    </row>
    <row r="72" spans="1:32" ht="12.75">
      <c r="A72" s="493"/>
      <c r="B72" s="493"/>
      <c r="C72" s="560" t="s">
        <v>93</v>
      </c>
      <c r="D72" s="672">
        <f>+I51</f>
      </c>
      <c r="E72" s="672">
        <f>+G61</f>
      </c>
      <c r="F72" s="672">
        <f>+K61</f>
      </c>
      <c r="G72" s="673">
        <f>+IF(E51="","",D72+E72+F72)</f>
      </c>
      <c r="H72" s="596">
        <f>+B61</f>
      </c>
      <c r="I72" s="659">
        <f>+IF(E51="","",G72-H72)</f>
      </c>
      <c r="J72" s="493"/>
      <c r="K72" s="493"/>
      <c r="L72" s="493"/>
      <c r="M72" s="493"/>
      <c r="N72" s="493"/>
      <c r="O72" s="608"/>
      <c r="P72" s="675"/>
      <c r="Q72" s="675"/>
      <c r="R72" s="676"/>
      <c r="S72" s="675"/>
      <c r="T72" s="675"/>
      <c r="U72" s="493"/>
      <c r="V72" s="493"/>
      <c r="W72" s="493"/>
      <c r="X72" s="493"/>
      <c r="Y72" s="549"/>
      <c r="Z72" s="549"/>
      <c r="AA72" s="549"/>
      <c r="AB72" s="530"/>
      <c r="AC72" s="5"/>
      <c r="AD72" s="5"/>
      <c r="AE72" s="5"/>
      <c r="AF72" s="5"/>
    </row>
    <row r="73" spans="1:32" ht="12.75">
      <c r="A73" s="493"/>
      <c r="B73" s="493"/>
      <c r="C73" s="493"/>
      <c r="D73" s="493"/>
      <c r="E73" s="493"/>
      <c r="F73" s="493"/>
      <c r="G73" s="493"/>
      <c r="H73" s="493"/>
      <c r="I73" s="493"/>
      <c r="J73" s="493"/>
      <c r="K73" s="493"/>
      <c r="L73" s="493"/>
      <c r="M73" s="493"/>
      <c r="N73" s="493"/>
      <c r="O73" s="493"/>
      <c r="P73" s="493"/>
      <c r="Q73" s="493"/>
      <c r="R73" s="493"/>
      <c r="S73" s="493"/>
      <c r="T73" s="493"/>
      <c r="U73" s="493"/>
      <c r="V73" s="493"/>
      <c r="W73" s="493"/>
      <c r="X73" s="493"/>
      <c r="Y73" s="549"/>
      <c r="Z73" s="549"/>
      <c r="AA73" s="549"/>
      <c r="AB73" s="530"/>
      <c r="AC73" s="5"/>
      <c r="AD73" s="5"/>
      <c r="AE73" s="5"/>
      <c r="AF73" s="5"/>
    </row>
    <row r="74" spans="1:28" ht="12.75">
      <c r="A74" s="1031" t="s">
        <v>1171</v>
      </c>
      <c r="B74" s="1032"/>
      <c r="C74" s="1032"/>
      <c r="D74" s="1032"/>
      <c r="E74" s="1032"/>
      <c r="F74" s="1032"/>
      <c r="G74" s="1032"/>
      <c r="H74" s="1032"/>
      <c r="I74" s="1032"/>
      <c r="J74" s="1032"/>
      <c r="K74" s="1032"/>
      <c r="L74" s="493"/>
      <c r="M74" s="493"/>
      <c r="N74" s="493"/>
      <c r="O74" s="493"/>
      <c r="P74" s="493"/>
      <c r="Q74" s="493"/>
      <c r="R74" s="493"/>
      <c r="S74" s="493"/>
      <c r="T74" s="493"/>
      <c r="U74" s="493"/>
      <c r="V74" s="493"/>
      <c r="W74" s="493"/>
      <c r="X74" s="493"/>
      <c r="Y74" s="493"/>
      <c r="Z74" s="493"/>
      <c r="AA74" s="493"/>
      <c r="AB74" s="493"/>
    </row>
    <row r="75" spans="1:28" ht="12.75">
      <c r="A75" s="654"/>
      <c r="B75" s="629"/>
      <c r="C75" s="629"/>
      <c r="D75" s="629"/>
      <c r="E75" s="629"/>
      <c r="F75" s="629"/>
      <c r="G75" s="629"/>
      <c r="H75" s="629"/>
      <c r="I75" s="629"/>
      <c r="J75" s="629"/>
      <c r="K75" s="629"/>
      <c r="L75" s="493"/>
      <c r="M75" s="493"/>
      <c r="N75" s="493"/>
      <c r="O75" s="493" t="s">
        <v>67</v>
      </c>
      <c r="P75" s="493"/>
      <c r="Q75" s="493"/>
      <c r="R75" s="493"/>
      <c r="S75" s="493"/>
      <c r="T75" s="493"/>
      <c r="U75" s="493"/>
      <c r="V75" s="493"/>
      <c r="W75" s="493" t="s">
        <v>72</v>
      </c>
      <c r="X75" s="493"/>
      <c r="Y75" s="493"/>
      <c r="Z75" s="493"/>
      <c r="AA75" s="493"/>
      <c r="AB75" s="493"/>
    </row>
    <row r="76" spans="1:28" ht="15.75">
      <c r="A76" s="654"/>
      <c r="B76" s="493" t="s">
        <v>1179</v>
      </c>
      <c r="C76" s="629"/>
      <c r="D76" s="629"/>
      <c r="E76" s="567" t="str">
        <f>IF(Input!$B$6="","",IF(Input!$B$6="E","in.",IF(Input!$B$6="M","mm")))</f>
        <v>in.</v>
      </c>
      <c r="F76" s="493"/>
      <c r="G76" s="493" t="s">
        <v>1180</v>
      </c>
      <c r="H76" s="629"/>
      <c r="I76" s="629"/>
      <c r="J76" s="567" t="str">
        <f>IF(Input!$B$6="","",IF(Input!$B$6="E","in.",IF(Input!$B$6="M","mm")))</f>
        <v>in.</v>
      </c>
      <c r="K76" s="629"/>
      <c r="L76" s="493"/>
      <c r="M76" s="493"/>
      <c r="N76" s="493" t="s">
        <v>68</v>
      </c>
      <c r="O76" s="560" t="str">
        <f>+C69</f>
        <v>A</v>
      </c>
      <c r="P76" s="560" t="e">
        <f>+G69*0.97</f>
        <v>#VALUE!</v>
      </c>
      <c r="Q76" s="560" t="e">
        <f>IF(P76="","",INT(P76))</f>
        <v>#VALUE!</v>
      </c>
      <c r="R76" s="671" t="e">
        <f aca="true" t="shared" si="0" ref="R76:R84">(P76-INT(P76))</f>
        <v>#VALUE!</v>
      </c>
      <c r="S76" s="560" t="e">
        <f>IF(P76="","",VLOOKUP(R76,Data!$A$365:$C$395,3,TRUE))</f>
        <v>#VALUE!</v>
      </c>
      <c r="T76" s="560" t="e">
        <f aca="true" t="shared" si="1" ref="T76:T84">IF(((P76-INT(P76))&gt;0.96875),(INT(P76)+1),Q76&amp;" "&amp;S76)</f>
        <v>#VALUE!</v>
      </c>
      <c r="U76" s="493"/>
      <c r="V76" s="493" t="s">
        <v>68</v>
      </c>
      <c r="W76" s="560" t="str">
        <f>+C69</f>
        <v>A</v>
      </c>
      <c r="X76" s="560" t="e">
        <f>+I69*0.97</f>
        <v>#VALUE!</v>
      </c>
      <c r="Y76" s="560" t="e">
        <f>IF(X76="","",INT(X76))</f>
        <v>#VALUE!</v>
      </c>
      <c r="Z76" s="671" t="e">
        <f>(X76-INT(X76))</f>
        <v>#VALUE!</v>
      </c>
      <c r="AA76" s="560" t="e">
        <f>IF(X76="","",VLOOKUP(Z76,Data!$A$365:$C$395,3,TRUE))</f>
        <v>#VALUE!</v>
      </c>
      <c r="AB76" s="560" t="e">
        <f>IF(((X76-INT(X76))&gt;0.96875),(INT(X76)+1),Y76&amp;" "&amp;AA76)</f>
        <v>#VALUE!</v>
      </c>
    </row>
    <row r="77" spans="1:28" ht="15.75">
      <c r="A77" s="654"/>
      <c r="B77" s="629" t="s">
        <v>1172</v>
      </c>
      <c r="C77" s="629"/>
      <c r="D77" s="629"/>
      <c r="E77" s="567" t="str">
        <f>IF(Input!$B$6="","",IF(Input!$B$6="E","in.",IF(Input!$B$6="M","mm")))</f>
        <v>in.</v>
      </c>
      <c r="F77" s="493"/>
      <c r="G77" s="629" t="s">
        <v>1173</v>
      </c>
      <c r="H77" s="629"/>
      <c r="I77" s="629"/>
      <c r="J77" s="567" t="str">
        <f>IF(Input!$B$6="","",IF(Input!$B$6="E","in.",IF(Input!$B$6="M","mm")))</f>
        <v>in.</v>
      </c>
      <c r="K77" s="629"/>
      <c r="L77" s="493"/>
      <c r="M77" s="493"/>
      <c r="N77" s="493"/>
      <c r="O77" s="560" t="str">
        <f>+C70</f>
        <v>B</v>
      </c>
      <c r="P77" s="560" t="e">
        <f>+G70*0.97</f>
        <v>#VALUE!</v>
      </c>
      <c r="Q77" s="560" t="e">
        <f aca="true" t="shared" si="2" ref="Q77:Q91">IF(P77="","",INT(P77))</f>
        <v>#VALUE!</v>
      </c>
      <c r="R77" s="671" t="e">
        <f t="shared" si="0"/>
        <v>#VALUE!</v>
      </c>
      <c r="S77" s="560" t="e">
        <f>IF(P77="","",VLOOKUP(R77,Data!$A$365:$C$395,3,TRUE))</f>
        <v>#VALUE!</v>
      </c>
      <c r="T77" s="560" t="e">
        <f t="shared" si="1"/>
        <v>#VALUE!</v>
      </c>
      <c r="U77" s="493"/>
      <c r="V77" s="493"/>
      <c r="W77" s="560" t="str">
        <f>+C70</f>
        <v>B</v>
      </c>
      <c r="X77" s="560" t="e">
        <f>+I70*0.97</f>
        <v>#VALUE!</v>
      </c>
      <c r="Y77" s="560" t="e">
        <f aca="true" t="shared" si="3" ref="Y77:Y91">IF(X77="","",INT(X77))</f>
        <v>#VALUE!</v>
      </c>
      <c r="Z77" s="671" t="e">
        <f aca="true" t="shared" si="4" ref="Z77:Z83">(X77-INT(X77))</f>
        <v>#VALUE!</v>
      </c>
      <c r="AA77" s="560" t="e">
        <f>IF(X77="","",VLOOKUP(Z77,Data!$A$365:$C$395,3,TRUE))</f>
        <v>#VALUE!</v>
      </c>
      <c r="AB77" s="560" t="e">
        <f aca="true" t="shared" si="5" ref="AB77:AB83">IF(((X77-INT(X77))&gt;0.96875),(INT(X77)+1),Y77&amp;" "&amp;AA77)</f>
        <v>#VALUE!</v>
      </c>
    </row>
    <row r="78" spans="1:28" ht="12.75">
      <c r="A78" s="654"/>
      <c r="B78" s="629"/>
      <c r="C78" s="629"/>
      <c r="D78" s="629"/>
      <c r="E78" s="629"/>
      <c r="F78" s="629"/>
      <c r="G78" s="629"/>
      <c r="H78" s="629"/>
      <c r="I78" s="629"/>
      <c r="J78" s="629"/>
      <c r="K78" s="629"/>
      <c r="L78" s="493"/>
      <c r="M78" s="493"/>
      <c r="N78" s="493"/>
      <c r="O78" s="560" t="str">
        <f>+C71</f>
        <v>C</v>
      </c>
      <c r="P78" s="560" t="e">
        <f>+G71*0.97</f>
        <v>#VALUE!</v>
      </c>
      <c r="Q78" s="560" t="e">
        <f t="shared" si="2"/>
        <v>#VALUE!</v>
      </c>
      <c r="R78" s="671" t="e">
        <f t="shared" si="0"/>
        <v>#VALUE!</v>
      </c>
      <c r="S78" s="560" t="e">
        <f>IF(P78="","",VLOOKUP(R78,Data!$A$365:$C$395,3,TRUE))</f>
        <v>#VALUE!</v>
      </c>
      <c r="T78" s="560" t="e">
        <f t="shared" si="1"/>
        <v>#VALUE!</v>
      </c>
      <c r="U78" s="493"/>
      <c r="V78" s="493"/>
      <c r="W78" s="560" t="str">
        <f>+C71</f>
        <v>C</v>
      </c>
      <c r="X78" s="560" t="e">
        <f>+I71*0.97</f>
        <v>#VALUE!</v>
      </c>
      <c r="Y78" s="560" t="e">
        <f t="shared" si="3"/>
        <v>#VALUE!</v>
      </c>
      <c r="Z78" s="671" t="e">
        <f t="shared" si="4"/>
        <v>#VALUE!</v>
      </c>
      <c r="AA78" s="560" t="e">
        <f>IF(X78="","",VLOOKUP(Z78,Data!$A$365:$C$395,3,TRUE))</f>
        <v>#VALUE!</v>
      </c>
      <c r="AB78" s="560" t="e">
        <f t="shared" si="5"/>
        <v>#VALUE!</v>
      </c>
    </row>
    <row r="79" spans="1:28" ht="12.75">
      <c r="A79" s="547" t="s">
        <v>112</v>
      </c>
      <c r="B79" s="677" t="s">
        <v>854</v>
      </c>
      <c r="C79" s="616"/>
      <c r="D79" s="616"/>
      <c r="E79" s="616"/>
      <c r="F79" s="525"/>
      <c r="G79" s="677" t="s">
        <v>855</v>
      </c>
      <c r="H79" s="616"/>
      <c r="I79" s="616"/>
      <c r="J79" s="616"/>
      <c r="K79" s="525"/>
      <c r="L79" s="493"/>
      <c r="M79" s="493"/>
      <c r="N79" s="493"/>
      <c r="O79" s="560" t="str">
        <f>+C72</f>
        <v>D</v>
      </c>
      <c r="P79" s="560" t="e">
        <f>+G72*0.97</f>
        <v>#VALUE!</v>
      </c>
      <c r="Q79" s="560" t="e">
        <f t="shared" si="2"/>
        <v>#VALUE!</v>
      </c>
      <c r="R79" s="671" t="e">
        <f t="shared" si="0"/>
        <v>#VALUE!</v>
      </c>
      <c r="S79" s="560" t="e">
        <f>IF(P79="","",VLOOKUP(R79,Data!$A$365:$C$395,3,TRUE))</f>
        <v>#VALUE!</v>
      </c>
      <c r="T79" s="560" t="e">
        <f t="shared" si="1"/>
        <v>#VALUE!</v>
      </c>
      <c r="U79" s="493"/>
      <c r="V79" s="493"/>
      <c r="W79" s="560" t="str">
        <f>+C72</f>
        <v>D</v>
      </c>
      <c r="X79" s="560" t="e">
        <f>+I72*0.97</f>
        <v>#VALUE!</v>
      </c>
      <c r="Y79" s="560" t="e">
        <f t="shared" si="3"/>
        <v>#VALUE!</v>
      </c>
      <c r="Z79" s="671" t="e">
        <f t="shared" si="4"/>
        <v>#VALUE!</v>
      </c>
      <c r="AA79" s="560" t="e">
        <f>IF(X79="","",VLOOKUP(Z79,Data!$A$365:$C$395,3,TRUE))</f>
        <v>#VALUE!</v>
      </c>
      <c r="AB79" s="560" t="e">
        <f t="shared" si="5"/>
        <v>#VALUE!</v>
      </c>
    </row>
    <row r="80" spans="1:28" ht="15.75">
      <c r="A80" s="535"/>
      <c r="B80" s="678" t="s">
        <v>1169</v>
      </c>
      <c r="C80" s="493" t="s">
        <v>1178</v>
      </c>
      <c r="D80" s="493"/>
      <c r="E80" s="679" t="s">
        <v>60</v>
      </c>
      <c r="F80" s="493"/>
      <c r="G80" s="680" t="s">
        <v>1185</v>
      </c>
      <c r="H80" s="493" t="s">
        <v>57</v>
      </c>
      <c r="I80" s="493"/>
      <c r="J80" s="679" t="s">
        <v>61</v>
      </c>
      <c r="K80" s="522"/>
      <c r="L80" s="493"/>
      <c r="M80" s="493"/>
      <c r="N80" s="493" t="s">
        <v>69</v>
      </c>
      <c r="O80" s="560" t="str">
        <f>+C69</f>
        <v>A</v>
      </c>
      <c r="P80" s="560" t="e">
        <f>+G69*1.03</f>
        <v>#VALUE!</v>
      </c>
      <c r="Q80" s="560" t="e">
        <f t="shared" si="2"/>
        <v>#VALUE!</v>
      </c>
      <c r="R80" s="671" t="e">
        <f t="shared" si="0"/>
        <v>#VALUE!</v>
      </c>
      <c r="S80" s="560" t="e">
        <f>IF(P80="","",VLOOKUP(R80,Data!$A$365:$C$395,3,TRUE))</f>
        <v>#VALUE!</v>
      </c>
      <c r="T80" s="560" t="e">
        <f t="shared" si="1"/>
        <v>#VALUE!</v>
      </c>
      <c r="U80" s="493"/>
      <c r="V80" s="493" t="s">
        <v>69</v>
      </c>
      <c r="W80" s="560" t="str">
        <f>+C69</f>
        <v>A</v>
      </c>
      <c r="X80" s="560" t="e">
        <f>+I69*1.03</f>
        <v>#VALUE!</v>
      </c>
      <c r="Y80" s="560" t="e">
        <f t="shared" si="3"/>
        <v>#VALUE!</v>
      </c>
      <c r="Z80" s="671" t="e">
        <f t="shared" si="4"/>
        <v>#VALUE!</v>
      </c>
      <c r="AA80" s="560" t="e">
        <f>IF(X80="","",VLOOKUP(Z80,Data!$A$365:$C$395,3,TRUE))</f>
        <v>#VALUE!</v>
      </c>
      <c r="AB80" s="560" t="e">
        <f t="shared" si="5"/>
        <v>#VALUE!</v>
      </c>
    </row>
    <row r="81" spans="1:28" ht="15.75">
      <c r="A81" s="535"/>
      <c r="B81" s="681" t="s">
        <v>56</v>
      </c>
      <c r="C81" s="599" t="s">
        <v>1174</v>
      </c>
      <c r="D81" s="682" t="s">
        <v>1175</v>
      </c>
      <c r="E81" s="599" t="s">
        <v>1176</v>
      </c>
      <c r="F81" s="683" t="s">
        <v>1177</v>
      </c>
      <c r="G81" s="684" t="s">
        <v>56</v>
      </c>
      <c r="H81" s="551" t="s">
        <v>1183</v>
      </c>
      <c r="I81" s="685" t="s">
        <v>1184</v>
      </c>
      <c r="J81" s="599" t="s">
        <v>58</v>
      </c>
      <c r="K81" s="682" t="s">
        <v>59</v>
      </c>
      <c r="L81" s="493"/>
      <c r="M81" s="493"/>
      <c r="N81" s="493"/>
      <c r="O81" s="560" t="str">
        <f>+C70</f>
        <v>B</v>
      </c>
      <c r="P81" s="560" t="e">
        <f>+G70*1.03</f>
        <v>#VALUE!</v>
      </c>
      <c r="Q81" s="560" t="e">
        <f t="shared" si="2"/>
        <v>#VALUE!</v>
      </c>
      <c r="R81" s="671" t="e">
        <f t="shared" si="0"/>
        <v>#VALUE!</v>
      </c>
      <c r="S81" s="560" t="e">
        <f>IF(P81="","",VLOOKUP(R81,Data!$A$365:$C$395,3,TRUE))</f>
        <v>#VALUE!</v>
      </c>
      <c r="T81" s="560" t="e">
        <f t="shared" si="1"/>
        <v>#VALUE!</v>
      </c>
      <c r="U81" s="493"/>
      <c r="V81" s="493"/>
      <c r="W81" s="560" t="str">
        <f>+C70</f>
        <v>B</v>
      </c>
      <c r="X81" s="560" t="e">
        <f>+I70*1.03</f>
        <v>#VALUE!</v>
      </c>
      <c r="Y81" s="560" t="e">
        <f t="shared" si="3"/>
        <v>#VALUE!</v>
      </c>
      <c r="Z81" s="671" t="e">
        <f t="shared" si="4"/>
        <v>#VALUE!</v>
      </c>
      <c r="AA81" s="560" t="e">
        <f>IF(X81="","",VLOOKUP(Z81,Data!$A$365:$C$395,3,TRUE))</f>
        <v>#VALUE!</v>
      </c>
      <c r="AB81" s="560" t="e">
        <f t="shared" si="5"/>
        <v>#VALUE!</v>
      </c>
    </row>
    <row r="82" spans="1:30" ht="12.75">
      <c r="A82" s="541"/>
      <c r="B82" s="686" t="str">
        <f>IF(Input!$B$6="","",IF(Input!$B$6="E","Gross (in.)",IF(Input!$B$6="M","Gross (mm)")))</f>
        <v>Gross (in.)</v>
      </c>
      <c r="C82" s="638" t="s">
        <v>556</v>
      </c>
      <c r="D82" s="638" t="s">
        <v>557</v>
      </c>
      <c r="E82" s="638" t="s">
        <v>556</v>
      </c>
      <c r="F82" s="687" t="s">
        <v>557</v>
      </c>
      <c r="G82" s="686" t="str">
        <f>IF(Input!$B$6="","",IF(Input!$B$6="E","Net (in.)",IF(Input!$B$6="M","Net (mm)")))</f>
        <v>Net (in.)</v>
      </c>
      <c r="H82" s="638" t="s">
        <v>556</v>
      </c>
      <c r="I82" s="638" t="s">
        <v>557</v>
      </c>
      <c r="J82" s="638" t="s">
        <v>556</v>
      </c>
      <c r="K82" s="638" t="s">
        <v>557</v>
      </c>
      <c r="L82" s="493"/>
      <c r="M82" s="493"/>
      <c r="N82" s="493"/>
      <c r="O82" s="560" t="str">
        <f>+C71</f>
        <v>C</v>
      </c>
      <c r="P82" s="560" t="e">
        <f>+G71*1.03</f>
        <v>#VALUE!</v>
      </c>
      <c r="Q82" s="560" t="e">
        <f t="shared" si="2"/>
        <v>#VALUE!</v>
      </c>
      <c r="R82" s="671" t="e">
        <f t="shared" si="0"/>
        <v>#VALUE!</v>
      </c>
      <c r="S82" s="560" t="e">
        <f>IF(P82="","",VLOOKUP(R82,Data!$A$365:$C$395,3,TRUE))</f>
        <v>#VALUE!</v>
      </c>
      <c r="T82" s="560" t="e">
        <f t="shared" si="1"/>
        <v>#VALUE!</v>
      </c>
      <c r="U82" s="493"/>
      <c r="V82" s="493"/>
      <c r="W82" s="560" t="str">
        <f>+C71</f>
        <v>C</v>
      </c>
      <c r="X82" s="560" t="e">
        <f>+I71*1.03</f>
        <v>#VALUE!</v>
      </c>
      <c r="Y82" s="560" t="e">
        <f t="shared" si="3"/>
        <v>#VALUE!</v>
      </c>
      <c r="Z82" s="671" t="e">
        <f t="shared" si="4"/>
        <v>#VALUE!</v>
      </c>
      <c r="AA82" s="560" t="e">
        <f>IF(X82="","",VLOOKUP(Z82,Data!$A$365:$C$395,3,TRUE))</f>
        <v>#VALUE!</v>
      </c>
      <c r="AB82" s="560" t="e">
        <f t="shared" si="5"/>
        <v>#VALUE!</v>
      </c>
      <c r="AD82" t="s">
        <v>821</v>
      </c>
    </row>
    <row r="83" spans="1:30" ht="12.75">
      <c r="A83" s="560" t="s">
        <v>90</v>
      </c>
      <c r="B83" s="688">
        <f>IF(E48="","",IF(Input!$B$6="E",T68,G69))</f>
      </c>
      <c r="C83" s="689">
        <f>IF(E48="","",IF(Input!$B$6="E",T76,G69*0.97))</f>
      </c>
      <c r="D83" s="689">
        <f>IF(E48="","",IF(Input!$B$6="E",T80,G69*1.03))</f>
      </c>
      <c r="E83" s="689">
        <f>+IF(E48="","",IF($AD$83="OK",IF(Input!$B$6="E",T84,G69*0.95),"NA"))</f>
      </c>
      <c r="F83" s="689">
        <f>+IF(E48="","",IF($AD$83="OK",IF(Input!$B$6="E",T88,G69*1.05),"NA"))</f>
      </c>
      <c r="G83" s="688">
        <f>IF(E48="","",IF(Input!$B$6="E",AA68,I69))</f>
      </c>
      <c r="H83" s="689">
        <f>IF(E48="","",IF(Input!$B$6="E",AB76,I69*0.97))</f>
      </c>
      <c r="I83" s="689">
        <f>IF(E48="","",IF(Input!$B$6="E",AB80,I69*1.03))</f>
      </c>
      <c r="J83" s="689">
        <f>+IF(E48="","",IF($AD$83="OK",IF(Input!$B$6="E",AB84,I69*0.95),"NA"))</f>
      </c>
      <c r="K83" s="689">
        <f>+IF(E48="","",IF($AD$83="OK",IF(Input!$B$6="E",AB88,I69*1.05),"NA"))</f>
      </c>
      <c r="L83" s="493"/>
      <c r="M83" s="493"/>
      <c r="N83" s="493"/>
      <c r="O83" s="560" t="str">
        <f>+C72</f>
        <v>D</v>
      </c>
      <c r="P83" s="560" t="e">
        <f>+G72*1.03</f>
        <v>#VALUE!</v>
      </c>
      <c r="Q83" s="560" t="e">
        <f t="shared" si="2"/>
        <v>#VALUE!</v>
      </c>
      <c r="R83" s="671" t="e">
        <f t="shared" si="0"/>
        <v>#VALUE!</v>
      </c>
      <c r="S83" s="560" t="e">
        <f>IF(P83="","",VLOOKUP(R83,Data!$A$365:$C$395,3,TRUE))</f>
        <v>#VALUE!</v>
      </c>
      <c r="T83" s="560" t="e">
        <f t="shared" si="1"/>
        <v>#VALUE!</v>
      </c>
      <c r="U83" s="493"/>
      <c r="V83" s="493"/>
      <c r="W83" s="560" t="str">
        <f>+C72</f>
        <v>D</v>
      </c>
      <c r="X83" s="560" t="e">
        <f>+I72*1.03</f>
        <v>#VALUE!</v>
      </c>
      <c r="Y83" s="560" t="e">
        <f t="shared" si="3"/>
        <v>#VALUE!</v>
      </c>
      <c r="Z83" s="671" t="e">
        <f t="shared" si="4"/>
        <v>#VALUE!</v>
      </c>
      <c r="AA83" s="560" t="e">
        <f>IF(X83="","",VLOOKUP(Z83,Data!$A$365:$C$395,3,TRUE))</f>
        <v>#VALUE!</v>
      </c>
      <c r="AB83" s="560" t="e">
        <f t="shared" si="5"/>
        <v>#VALUE!</v>
      </c>
      <c r="AD83" s="689" t="str">
        <f>+IF(DrapedStrands="Yes",IF('Setup Bm Input'!$B$46&lt;1.002000000001,"OK","NG"),"NG")</f>
        <v>NG</v>
      </c>
    </row>
    <row r="84" spans="1:28" ht="12.75">
      <c r="A84" s="560" t="s">
        <v>91</v>
      </c>
      <c r="B84" s="688">
        <f>IF(E49="","",IF(Input!$B$6="E",T69,G70))</f>
      </c>
      <c r="C84" s="689">
        <f>IF(E49="","",IF(Input!$B$6="E",T77,G70*0.97))</f>
      </c>
      <c r="D84" s="689">
        <f>IF(E49="","",IF(Input!$B$6="E",T81,G70*1.03))</f>
      </c>
      <c r="E84" s="689">
        <f>+IF(E49="","",IF($AD$83="OK",IF(Input!$B$6="E",T85,G70*0.95),"NA"))</f>
      </c>
      <c r="F84" s="689">
        <f>+IF(E49="","",IF($AD$83="OK",IF(Input!$B$6="E",T89,G70*1.05),"NA"))</f>
      </c>
      <c r="G84" s="688">
        <f>IF(E49="","",IF(Input!$B$6="E",AA69,I70))</f>
      </c>
      <c r="H84" s="689">
        <f>IF(E49="","",IF(Input!$B$6="E",AB77,I70*0.97))</f>
      </c>
      <c r="I84" s="689">
        <f>IF(E49="","",IF(Input!$B$6="E",AB81,I70*1.03))</f>
      </c>
      <c r="J84" s="689">
        <f>+IF(E49="","",IF($AD$83="OK",IF(Input!$B$6="E",AB85,I70*0.95),"NA"))</f>
      </c>
      <c r="K84" s="689">
        <f>+IF(E49="","",IF($AD$83="OK",IF(Input!$B$6="E",AB89,I70*1.05),"NA"))</f>
      </c>
      <c r="L84" s="493"/>
      <c r="M84" s="493"/>
      <c r="N84" s="493" t="s">
        <v>70</v>
      </c>
      <c r="O84" s="560" t="str">
        <f>+C69</f>
        <v>A</v>
      </c>
      <c r="P84" s="560" t="e">
        <f>+G69*0.95</f>
        <v>#VALUE!</v>
      </c>
      <c r="Q84" s="560" t="e">
        <f>IF(P84="","",INT(P84))</f>
        <v>#VALUE!</v>
      </c>
      <c r="R84" s="671" t="e">
        <f t="shared" si="0"/>
        <v>#VALUE!</v>
      </c>
      <c r="S84" s="560" t="e">
        <f>IF(P84="","",VLOOKUP(R84,Data!$A$365:$C$395,3,TRUE))</f>
        <v>#VALUE!</v>
      </c>
      <c r="T84" s="560" t="e">
        <f t="shared" si="1"/>
        <v>#VALUE!</v>
      </c>
      <c r="U84" s="493"/>
      <c r="V84" s="493" t="s">
        <v>70</v>
      </c>
      <c r="W84" s="560" t="str">
        <f>+C69</f>
        <v>A</v>
      </c>
      <c r="X84" s="560" t="e">
        <f>+I69*0.95</f>
        <v>#VALUE!</v>
      </c>
      <c r="Y84" s="560" t="e">
        <f>IF(X84="","",INT(X84))</f>
        <v>#VALUE!</v>
      </c>
      <c r="Z84" s="671" t="e">
        <f>(X84-INT(X84))</f>
        <v>#VALUE!</v>
      </c>
      <c r="AA84" s="560" t="e">
        <f>IF(X84="","",VLOOKUP(Z84,Data!$A$365:$C$395,3,TRUE))</f>
        <v>#VALUE!</v>
      </c>
      <c r="AB84" s="560" t="e">
        <f>IF(((X84-INT(X84))&gt;0.96875),(INT(X84)+1),Y84&amp;" "&amp;AA84)</f>
        <v>#VALUE!</v>
      </c>
    </row>
    <row r="85" spans="1:28" ht="12.75">
      <c r="A85" s="667" t="s">
        <v>92</v>
      </c>
      <c r="B85" s="688">
        <f>IF(E50="","",IF(Input!$B$6="E",T70,G71))</f>
      </c>
      <c r="C85" s="689">
        <f>IF(E50="","",IF(Input!$B$6="E",T78,G71*0.97))</f>
      </c>
      <c r="D85" s="689">
        <f>IF(E50="","",IF(Input!$B$6="E",T82,G71*1.03))</f>
      </c>
      <c r="E85" s="689">
        <f>+IF(E50="","",IF($AD$83="OK",IF(Input!$B$6="E",T86,G71*0.95),"NA"))</f>
      </c>
      <c r="F85" s="689">
        <f>+IF(E50="","",IF($AD$83="OK",IF(Input!$B$6="E",T90,G71*1.05),"NA"))</f>
      </c>
      <c r="G85" s="688">
        <f>IF(E50="","",IF(Input!$B$6="E",AA70,I71))</f>
      </c>
      <c r="H85" s="689">
        <f>IF(E50="","",IF(Input!$B$6="E",AB78,I71*0.97))</f>
      </c>
      <c r="I85" s="689">
        <f>IF(E50="","",IF(Input!$B$6="E",AB82,I71*1.03))</f>
      </c>
      <c r="J85" s="689">
        <f>+IF(E50="","",IF($AD$83="OK",IF(Input!$B$6="E",AB86,I71*0.95),"NA"))</f>
      </c>
      <c r="K85" s="689">
        <f>+IF(E50="","",IF($AD$83="OK",IF(Input!$B$6="E",AB90,I71*1.05),"NA"))</f>
      </c>
      <c r="L85" s="493"/>
      <c r="M85" s="493"/>
      <c r="N85" s="493"/>
      <c r="O85" s="560" t="str">
        <f>+C70</f>
        <v>B</v>
      </c>
      <c r="P85" s="560" t="e">
        <f>+G70*0.95</f>
        <v>#VALUE!</v>
      </c>
      <c r="Q85" s="560" t="e">
        <f t="shared" si="2"/>
        <v>#VALUE!</v>
      </c>
      <c r="R85" s="671" t="e">
        <f aca="true" t="shared" si="6" ref="R85:R91">(P85-INT(P85))</f>
        <v>#VALUE!</v>
      </c>
      <c r="S85" s="560" t="e">
        <f>IF(P85="","",VLOOKUP(R85,Data!$A$365:$C$395,3,TRUE))</f>
        <v>#VALUE!</v>
      </c>
      <c r="T85" s="560" t="e">
        <f aca="true" t="shared" si="7" ref="T85:T91">IF(((P85-INT(P85))&gt;0.96875),(INT(P85)+1),Q85&amp;" "&amp;S85)</f>
        <v>#VALUE!</v>
      </c>
      <c r="U85" s="493"/>
      <c r="V85" s="493"/>
      <c r="W85" s="560" t="str">
        <f>+C70</f>
        <v>B</v>
      </c>
      <c r="X85" s="560" t="e">
        <f>+I70*0.95</f>
        <v>#VALUE!</v>
      </c>
      <c r="Y85" s="560" t="e">
        <f t="shared" si="3"/>
        <v>#VALUE!</v>
      </c>
      <c r="Z85" s="671" t="e">
        <f aca="true" t="shared" si="8" ref="Z85:Z91">(X85-INT(X85))</f>
        <v>#VALUE!</v>
      </c>
      <c r="AA85" s="560" t="e">
        <f>IF(X85="","",VLOOKUP(Z85,Data!$A$365:$C$395,3,TRUE))</f>
        <v>#VALUE!</v>
      </c>
      <c r="AB85" s="560" t="e">
        <f aca="true" t="shared" si="9" ref="AB85:AB91">IF(((X85-INT(X85))&gt;0.96875),(INT(X85)+1),Y85&amp;" "&amp;AA85)</f>
        <v>#VALUE!</v>
      </c>
    </row>
    <row r="86" spans="1:28" ht="12.75">
      <c r="A86" s="560" t="s">
        <v>93</v>
      </c>
      <c r="B86" s="688">
        <f>IF(E51="","",IF(Input!$B$6="E",T71,G72))</f>
      </c>
      <c r="C86" s="689">
        <f>IF(E51="","",IF(Input!$B$6="E",T79,G72*0.97))</f>
      </c>
      <c r="D86" s="689">
        <f>IF(E51="","",IF(Input!$B$6="E",T83,G72*1.03))</f>
      </c>
      <c r="E86" s="689">
        <f>+IF(E51="","",IF($AD$83="OK",IF(Input!$B$6="E",T87,G72*0.95),"NA"))</f>
      </c>
      <c r="F86" s="689">
        <f>+IF(E51="","",IF($AD$83="OK",IF(Input!$B$6="E",T91,G72*1.05),"NA"))</f>
      </c>
      <c r="G86" s="688">
        <f>IF(E51="","",IF(Input!$B$6="E",AA71,I72))</f>
      </c>
      <c r="H86" s="689">
        <f>IF(E51="","",IF(Input!$B$6="E",AB79,I72*0.97))</f>
      </c>
      <c r="I86" s="689">
        <f>IF(E51="","",IF(Input!$B$6="E",AB83,I72*1.03))</f>
      </c>
      <c r="J86" s="689">
        <f>+IF(E51="","",IF($AD$83="OK",IF(Input!$B$6="E",AB87,I72*0.95),"NA"))</f>
      </c>
      <c r="K86" s="689">
        <f>+IF(E51="","",IF($AD$83="OK",IF(Input!$B$6="E",AB91,I72*1.05),"NA"))</f>
      </c>
      <c r="L86" s="493"/>
      <c r="M86" s="493"/>
      <c r="N86" s="493"/>
      <c r="O86" s="560" t="str">
        <f>+C71</f>
        <v>C</v>
      </c>
      <c r="P86" s="560" t="e">
        <f>+G71*0.95</f>
        <v>#VALUE!</v>
      </c>
      <c r="Q86" s="560" t="e">
        <f t="shared" si="2"/>
        <v>#VALUE!</v>
      </c>
      <c r="R86" s="671" t="e">
        <f t="shared" si="6"/>
        <v>#VALUE!</v>
      </c>
      <c r="S86" s="560" t="e">
        <f>IF(P86="","",VLOOKUP(R86,Data!$A$365:$C$395,3,TRUE))</f>
        <v>#VALUE!</v>
      </c>
      <c r="T86" s="560" t="e">
        <f t="shared" si="7"/>
        <v>#VALUE!</v>
      </c>
      <c r="U86" s="493"/>
      <c r="V86" s="493"/>
      <c r="W86" s="560" t="str">
        <f>+C71</f>
        <v>C</v>
      </c>
      <c r="X86" s="560" t="e">
        <f>+I71*0.95</f>
        <v>#VALUE!</v>
      </c>
      <c r="Y86" s="560" t="e">
        <f t="shared" si="3"/>
        <v>#VALUE!</v>
      </c>
      <c r="Z86" s="671" t="e">
        <f t="shared" si="8"/>
        <v>#VALUE!</v>
      </c>
      <c r="AA86" s="560" t="e">
        <f>IF(X86="","",VLOOKUP(Z86,Data!$A$365:$C$395,3,TRUE))</f>
        <v>#VALUE!</v>
      </c>
      <c r="AB86" s="560" t="e">
        <f t="shared" si="9"/>
        <v>#VALUE!</v>
      </c>
    </row>
    <row r="87" spans="1:28" ht="12.75">
      <c r="A87" s="493"/>
      <c r="B87" s="493"/>
      <c r="C87" s="493"/>
      <c r="D87" s="493"/>
      <c r="E87" s="493"/>
      <c r="F87" s="493"/>
      <c r="G87" s="493"/>
      <c r="H87" s="493"/>
      <c r="I87" s="493"/>
      <c r="J87" s="493"/>
      <c r="K87" s="493"/>
      <c r="L87" s="493"/>
      <c r="M87" s="493"/>
      <c r="N87" s="493"/>
      <c r="O87" s="560" t="str">
        <f>+C72</f>
        <v>D</v>
      </c>
      <c r="P87" s="560" t="e">
        <f>+G72*0.95</f>
        <v>#VALUE!</v>
      </c>
      <c r="Q87" s="560" t="e">
        <f t="shared" si="2"/>
        <v>#VALUE!</v>
      </c>
      <c r="R87" s="671" t="e">
        <f t="shared" si="6"/>
        <v>#VALUE!</v>
      </c>
      <c r="S87" s="560" t="e">
        <f>IF(P87="","",VLOOKUP(R87,Data!$A$365:$C$395,3,TRUE))</f>
        <v>#VALUE!</v>
      </c>
      <c r="T87" s="560" t="e">
        <f t="shared" si="7"/>
        <v>#VALUE!</v>
      </c>
      <c r="U87" s="493"/>
      <c r="V87" s="493"/>
      <c r="W87" s="560" t="str">
        <f>+C72</f>
        <v>D</v>
      </c>
      <c r="X87" s="560" t="e">
        <f>+I72*0.95</f>
        <v>#VALUE!</v>
      </c>
      <c r="Y87" s="560" t="e">
        <f t="shared" si="3"/>
        <v>#VALUE!</v>
      </c>
      <c r="Z87" s="671" t="e">
        <f t="shared" si="8"/>
        <v>#VALUE!</v>
      </c>
      <c r="AA87" s="560" t="e">
        <f>IF(X87="","",VLOOKUP(Z87,Data!$A$365:$C$395,3,TRUE))</f>
        <v>#VALUE!</v>
      </c>
      <c r="AB87" s="560" t="e">
        <f t="shared" si="9"/>
        <v>#VALUE!</v>
      </c>
    </row>
    <row r="88" spans="1:28" ht="12.75">
      <c r="A88" s="493"/>
      <c r="B88" s="493"/>
      <c r="C88" s="493"/>
      <c r="D88" s="493"/>
      <c r="E88" s="493"/>
      <c r="F88" s="493"/>
      <c r="G88" s="493"/>
      <c r="H88" s="493"/>
      <c r="I88" s="493"/>
      <c r="J88" s="493"/>
      <c r="K88" s="493"/>
      <c r="L88" s="493"/>
      <c r="M88" s="493"/>
      <c r="N88" s="493" t="s">
        <v>71</v>
      </c>
      <c r="O88" s="560" t="str">
        <f>+C69</f>
        <v>A</v>
      </c>
      <c r="P88" s="560" t="e">
        <f>+G69*1.05</f>
        <v>#VALUE!</v>
      </c>
      <c r="Q88" s="560" t="e">
        <f t="shared" si="2"/>
        <v>#VALUE!</v>
      </c>
      <c r="R88" s="671" t="e">
        <f t="shared" si="6"/>
        <v>#VALUE!</v>
      </c>
      <c r="S88" s="560" t="e">
        <f>IF(P88="","",VLOOKUP(R88,Data!$A$365:$C$395,3,TRUE))</f>
        <v>#VALUE!</v>
      </c>
      <c r="T88" s="560" t="e">
        <f t="shared" si="7"/>
        <v>#VALUE!</v>
      </c>
      <c r="U88" s="493"/>
      <c r="V88" s="493" t="s">
        <v>71</v>
      </c>
      <c r="W88" s="560" t="str">
        <f>+C69</f>
        <v>A</v>
      </c>
      <c r="X88" s="560" t="e">
        <f>+I69*1.05</f>
        <v>#VALUE!</v>
      </c>
      <c r="Y88" s="560" t="e">
        <f t="shared" si="3"/>
        <v>#VALUE!</v>
      </c>
      <c r="Z88" s="671" t="e">
        <f t="shared" si="8"/>
        <v>#VALUE!</v>
      </c>
      <c r="AA88" s="560" t="e">
        <f>IF(X88="","",VLOOKUP(Z88,Data!$A$365:$C$395,3,TRUE))</f>
        <v>#VALUE!</v>
      </c>
      <c r="AB88" s="560" t="e">
        <f t="shared" si="9"/>
        <v>#VALUE!</v>
      </c>
    </row>
    <row r="89" spans="1:28" ht="12.75">
      <c r="A89" s="655" t="s">
        <v>99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493"/>
      <c r="M89" s="493"/>
      <c r="N89" s="493"/>
      <c r="O89" s="560" t="str">
        <f>+C70</f>
        <v>B</v>
      </c>
      <c r="P89" s="560" t="e">
        <f>+G70*1.05</f>
        <v>#VALUE!</v>
      </c>
      <c r="Q89" s="560" t="e">
        <f t="shared" si="2"/>
        <v>#VALUE!</v>
      </c>
      <c r="R89" s="671" t="e">
        <f t="shared" si="6"/>
        <v>#VALUE!</v>
      </c>
      <c r="S89" s="560" t="e">
        <f>IF(P89="","",VLOOKUP(R89,Data!$A$365:$C$395,3,TRUE))</f>
        <v>#VALUE!</v>
      </c>
      <c r="T89" s="560" t="e">
        <f t="shared" si="7"/>
        <v>#VALUE!</v>
      </c>
      <c r="U89" s="493"/>
      <c r="V89" s="493"/>
      <c r="W89" s="560" t="str">
        <f>+C70</f>
        <v>B</v>
      </c>
      <c r="X89" s="560" t="e">
        <f>+I70*1.05</f>
        <v>#VALUE!</v>
      </c>
      <c r="Y89" s="560" t="e">
        <f t="shared" si="3"/>
        <v>#VALUE!</v>
      </c>
      <c r="Z89" s="671" t="e">
        <f t="shared" si="8"/>
        <v>#VALUE!</v>
      </c>
      <c r="AA89" s="560" t="e">
        <f>IF(X89="","",VLOOKUP(Z89,Data!$A$365:$C$395,3,TRUE))</f>
        <v>#VALUE!</v>
      </c>
      <c r="AB89" s="560" t="e">
        <f t="shared" si="9"/>
        <v>#VALUE!</v>
      </c>
    </row>
    <row r="90" spans="1:28" ht="12.75">
      <c r="A90" s="493"/>
      <c r="B90" s="694"/>
      <c r="C90" s="694"/>
      <c r="D90" s="694"/>
      <c r="E90" s="694"/>
      <c r="F90" s="694"/>
      <c r="G90" s="694"/>
      <c r="H90" s="694"/>
      <c r="I90" s="694"/>
      <c r="J90" s="694"/>
      <c r="K90" s="694"/>
      <c r="L90" s="493"/>
      <c r="M90" s="493"/>
      <c r="N90" s="493"/>
      <c r="O90" s="560" t="str">
        <f>+C71</f>
        <v>C</v>
      </c>
      <c r="P90" s="560" t="e">
        <f>+G71*1.05</f>
        <v>#VALUE!</v>
      </c>
      <c r="Q90" s="560" t="e">
        <f t="shared" si="2"/>
        <v>#VALUE!</v>
      </c>
      <c r="R90" s="671" t="e">
        <f t="shared" si="6"/>
        <v>#VALUE!</v>
      </c>
      <c r="S90" s="560" t="e">
        <f>IF(P90="","",VLOOKUP(R90,Data!$A$365:$C$395,3,TRUE))</f>
        <v>#VALUE!</v>
      </c>
      <c r="T90" s="560" t="e">
        <f t="shared" si="7"/>
        <v>#VALUE!</v>
      </c>
      <c r="U90" s="493"/>
      <c r="V90" s="493"/>
      <c r="W90" s="560" t="str">
        <f>+C71</f>
        <v>C</v>
      </c>
      <c r="X90" s="560" t="e">
        <f>+I71*1.05</f>
        <v>#VALUE!</v>
      </c>
      <c r="Y90" s="560" t="e">
        <f t="shared" si="3"/>
        <v>#VALUE!</v>
      </c>
      <c r="Z90" s="671" t="e">
        <f t="shared" si="8"/>
        <v>#VALUE!</v>
      </c>
      <c r="AA90" s="560" t="e">
        <f>IF(X90="","",VLOOKUP(Z90,Data!$A$365:$C$395,3,TRUE))</f>
        <v>#VALUE!</v>
      </c>
      <c r="AB90" s="560" t="e">
        <f t="shared" si="9"/>
        <v>#VALUE!</v>
      </c>
    </row>
    <row r="91" spans="1:28" ht="12.7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493"/>
      <c r="M91" s="493"/>
      <c r="N91" s="493"/>
      <c r="O91" s="560" t="str">
        <f>+C72</f>
        <v>D</v>
      </c>
      <c r="P91" s="560" t="e">
        <f>+G72*1.05</f>
        <v>#VALUE!</v>
      </c>
      <c r="Q91" s="560" t="e">
        <f t="shared" si="2"/>
        <v>#VALUE!</v>
      </c>
      <c r="R91" s="671" t="e">
        <f t="shared" si="6"/>
        <v>#VALUE!</v>
      </c>
      <c r="S91" s="560" t="e">
        <f>IF(P91="","",VLOOKUP(R91,Data!$A$365:$C$395,3,TRUE))</f>
        <v>#VALUE!</v>
      </c>
      <c r="T91" s="560" t="e">
        <f t="shared" si="7"/>
        <v>#VALUE!</v>
      </c>
      <c r="U91" s="493"/>
      <c r="V91" s="493"/>
      <c r="W91" s="560" t="str">
        <f>+C72</f>
        <v>D</v>
      </c>
      <c r="X91" s="560" t="e">
        <f>+I72*1.05</f>
        <v>#VALUE!</v>
      </c>
      <c r="Y91" s="560" t="e">
        <f t="shared" si="3"/>
        <v>#VALUE!</v>
      </c>
      <c r="Z91" s="671" t="e">
        <f t="shared" si="8"/>
        <v>#VALUE!</v>
      </c>
      <c r="AA91" s="560" t="e">
        <f>IF(X91="","",VLOOKUP(Z91,Data!$A$365:$C$395,3,TRUE))</f>
        <v>#VALUE!</v>
      </c>
      <c r="AB91" s="560" t="e">
        <f t="shared" si="9"/>
        <v>#VALUE!</v>
      </c>
    </row>
    <row r="92" spans="1:28" ht="12.75">
      <c r="A92" s="493"/>
      <c r="B92" s="493"/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690"/>
      <c r="N92" s="493"/>
      <c r="O92" s="545"/>
      <c r="P92" s="691"/>
      <c r="Q92" s="691"/>
      <c r="R92" s="691"/>
      <c r="S92" s="691"/>
      <c r="T92" s="493"/>
      <c r="U92" s="493"/>
      <c r="V92" s="493"/>
      <c r="W92" s="493"/>
      <c r="X92" s="493"/>
      <c r="Y92" s="493"/>
      <c r="Z92" s="493"/>
      <c r="AA92" s="493"/>
      <c r="AB92" s="493"/>
    </row>
    <row r="93" spans="1:28" ht="12.75">
      <c r="A93" s="493"/>
      <c r="B93" s="493"/>
      <c r="C93" s="493"/>
      <c r="D93" s="493"/>
      <c r="E93" s="493"/>
      <c r="F93" s="692" t="s">
        <v>1016</v>
      </c>
      <c r="G93" s="569">
        <f>+IF(Input!E14="","",Input!E14)</f>
      </c>
      <c r="H93" s="616"/>
      <c r="I93" s="525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493"/>
      <c r="V93" s="493"/>
      <c r="W93" s="493"/>
      <c r="X93" s="493"/>
      <c r="Y93" s="493"/>
      <c r="Z93" s="493"/>
      <c r="AA93" s="493"/>
      <c r="AB93" s="493"/>
    </row>
    <row r="94" spans="1:28" ht="12.75">
      <c r="A94" s="693" t="s">
        <v>1271</v>
      </c>
      <c r="B94" s="693"/>
      <c r="C94" s="493"/>
      <c r="D94" s="493"/>
      <c r="E94" s="493"/>
      <c r="F94" s="493"/>
      <c r="G94" s="493"/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3"/>
      <c r="U94" s="493"/>
      <c r="V94" s="493"/>
      <c r="W94" s="493"/>
      <c r="X94" s="493"/>
      <c r="Y94" s="493"/>
      <c r="Z94" s="493"/>
      <c r="AA94" s="493"/>
      <c r="AB94" s="493"/>
    </row>
  </sheetData>
  <sheetProtection sheet="1" objects="1" scenarios="1"/>
  <mergeCells count="11">
    <mergeCell ref="A1:C1"/>
    <mergeCell ref="A10:K10"/>
    <mergeCell ref="A11:K11"/>
    <mergeCell ref="A12:K12"/>
    <mergeCell ref="A13:K13"/>
    <mergeCell ref="A74:K74"/>
    <mergeCell ref="A27:K27"/>
    <mergeCell ref="A41:K41"/>
    <mergeCell ref="A53:K53"/>
    <mergeCell ref="A63:K63"/>
    <mergeCell ref="D14:D17"/>
  </mergeCells>
  <printOptions horizontalCentered="1"/>
  <pageMargins left="0.5" right="0.5" top="0.5" bottom="0.5" header="0" footer="0"/>
  <pageSetup fitToHeight="1" fitToWidth="1" horizontalDpi="600" verticalDpi="600" orientation="portrait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IQ8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2" width="13.8515625" style="0" customWidth="1"/>
    <col min="3" max="3" width="12.421875" style="0" customWidth="1"/>
    <col min="4" max="4" width="15.00390625" style="0" customWidth="1"/>
    <col min="5" max="5" width="11.28125" style="0" customWidth="1"/>
    <col min="6" max="6" width="14.421875" style="0" customWidth="1"/>
    <col min="7" max="7" width="11.7109375" style="0" customWidth="1"/>
    <col min="8" max="8" width="13.421875" style="0" customWidth="1"/>
    <col min="9" max="9" width="12.7109375" style="0" customWidth="1"/>
    <col min="10" max="10" width="11.140625" style="0" customWidth="1"/>
  </cols>
  <sheetData>
    <row r="1" spans="1:251" ht="12.75">
      <c r="A1" s="1023" t="s">
        <v>861</v>
      </c>
      <c r="B1" s="1024"/>
      <c r="C1" s="1024"/>
      <c r="D1" s="530"/>
      <c r="E1" s="530"/>
      <c r="F1" s="530"/>
      <c r="G1" s="530"/>
      <c r="H1" s="530"/>
      <c r="I1" s="530"/>
      <c r="J1" s="530"/>
      <c r="K1" s="493"/>
      <c r="IQ1" s="13">
        <f>IF(Data!D78="","",Data!D78)</f>
        <v>0</v>
      </c>
    </row>
    <row r="2" spans="1:251" ht="12.75">
      <c r="A2" s="530"/>
      <c r="B2" s="549"/>
      <c r="C2" s="549"/>
      <c r="D2" s="549"/>
      <c r="E2" s="549"/>
      <c r="F2" s="549"/>
      <c r="G2" s="549"/>
      <c r="H2" s="549"/>
      <c r="I2" s="549"/>
      <c r="J2" s="530"/>
      <c r="K2" s="493"/>
      <c r="IQ2" s="13">
        <f>IF(Data!D79="","",Data!D79)</f>
        <v>0</v>
      </c>
    </row>
    <row r="3" spans="1:251" ht="12.75">
      <c r="A3" s="565"/>
      <c r="B3" s="584"/>
      <c r="C3" s="544"/>
      <c r="D3" s="544"/>
      <c r="E3" s="584"/>
      <c r="F3" s="647"/>
      <c r="G3" s="550"/>
      <c r="H3" s="553"/>
      <c r="I3" s="553"/>
      <c r="J3" s="530"/>
      <c r="K3" s="493"/>
      <c r="IQ3" s="13">
        <f>IF(Data!D80="","",Data!D80)</f>
        <v>0</v>
      </c>
    </row>
    <row r="4" spans="1:251" ht="12.75">
      <c r="A4" s="565"/>
      <c r="B4" s="584"/>
      <c r="C4" s="544"/>
      <c r="D4" s="544"/>
      <c r="E4" s="584"/>
      <c r="F4" s="647"/>
      <c r="G4" s="550"/>
      <c r="H4" s="553"/>
      <c r="I4" s="553"/>
      <c r="J4" s="530"/>
      <c r="K4" s="493"/>
      <c r="IQ4" s="13">
        <f>IF(Data!D81="","",Data!D81)</f>
        <v>0</v>
      </c>
    </row>
    <row r="5" spans="1:251" ht="12.75">
      <c r="A5" s="565"/>
      <c r="B5" s="584"/>
      <c r="C5" s="544"/>
      <c r="D5" s="544"/>
      <c r="E5" s="584"/>
      <c r="F5" s="647"/>
      <c r="G5" s="550"/>
      <c r="H5" s="553"/>
      <c r="I5" s="553"/>
      <c r="J5" s="530"/>
      <c r="K5" s="493"/>
      <c r="IQ5" s="13">
        <f>IF(Data!D82="","",Data!D82)</f>
        <v>0</v>
      </c>
    </row>
    <row r="6" spans="1:251" ht="12.75">
      <c r="A6" s="565"/>
      <c r="B6" s="584"/>
      <c r="C6" s="544"/>
      <c r="D6" s="544"/>
      <c r="E6" s="584"/>
      <c r="F6" s="647"/>
      <c r="G6" s="550"/>
      <c r="H6" s="553"/>
      <c r="I6" s="553"/>
      <c r="J6" s="530"/>
      <c r="K6" s="493"/>
      <c r="IQ6" s="13">
        <f>IF(Data!D83="","",Data!D83)</f>
        <v>0</v>
      </c>
    </row>
    <row r="7" spans="1:251" ht="12.75">
      <c r="A7" s="648"/>
      <c r="B7" s="530"/>
      <c r="C7" s="530"/>
      <c r="D7" s="530"/>
      <c r="E7" s="549"/>
      <c r="F7" s="530"/>
      <c r="G7" s="530"/>
      <c r="H7" s="530"/>
      <c r="I7" s="530"/>
      <c r="J7" s="530"/>
      <c r="K7" s="493"/>
      <c r="IQ7" s="13">
        <f>IF(Data!D84="","",Data!D84)</f>
        <v>0</v>
      </c>
    </row>
    <row r="8" spans="1:251" ht="4.5" customHeight="1">
      <c r="A8" s="649"/>
      <c r="B8" s="650"/>
      <c r="C8" s="650"/>
      <c r="D8" s="650"/>
      <c r="E8" s="650"/>
      <c r="F8" s="650"/>
      <c r="G8" s="650"/>
      <c r="H8" s="650"/>
      <c r="I8" s="650"/>
      <c r="J8" s="650"/>
      <c r="K8" s="651"/>
      <c r="IQ8" s="13">
        <f>IF(Data!D85="","",Data!D85)</f>
        <v>0</v>
      </c>
    </row>
    <row r="9" spans="1:251" ht="12.75">
      <c r="A9" s="494" t="s">
        <v>1229</v>
      </c>
      <c r="B9" s="588"/>
      <c r="C9" s="588"/>
      <c r="D9" s="588"/>
      <c r="E9" s="588"/>
      <c r="F9" s="588"/>
      <c r="G9" s="588"/>
      <c r="H9" s="588"/>
      <c r="I9" s="588"/>
      <c r="J9" s="7" t="s">
        <v>1310</v>
      </c>
      <c r="K9" s="588"/>
      <c r="IQ9" s="13">
        <f>IF(Data!D86="","",Data!D86)</f>
        <v>0</v>
      </c>
    </row>
    <row r="10" spans="1:251" ht="15.75">
      <c r="A10" s="1025" t="s">
        <v>84</v>
      </c>
      <c r="B10" s="1026"/>
      <c r="C10" s="1026"/>
      <c r="D10" s="1026"/>
      <c r="E10" s="1026"/>
      <c r="F10" s="1026"/>
      <c r="G10" s="1026"/>
      <c r="H10" s="1026"/>
      <c r="I10" s="1026"/>
      <c r="J10" s="1026"/>
      <c r="K10" s="1026"/>
      <c r="IQ10" s="13">
        <f>IF(Data!D87="","",Data!D87)</f>
        <v>0</v>
      </c>
    </row>
    <row r="11" spans="1:251" ht="12.75">
      <c r="A11" s="1027" t="s">
        <v>101</v>
      </c>
      <c r="B11" s="1026"/>
      <c r="C11" s="1026"/>
      <c r="D11" s="1026"/>
      <c r="E11" s="1026"/>
      <c r="F11" s="1026"/>
      <c r="G11" s="1026"/>
      <c r="H11" s="1026"/>
      <c r="I11" s="1026"/>
      <c r="J11" s="1026"/>
      <c r="K11" s="1026"/>
      <c r="IQ11" s="13">
        <f>IF(Data!D88="","",Data!D88)</f>
        <v>0</v>
      </c>
    </row>
    <row r="12" spans="1:251" ht="12.75">
      <c r="A12" s="1027" t="s">
        <v>102</v>
      </c>
      <c r="B12" s="1026"/>
      <c r="C12" s="1026"/>
      <c r="D12" s="1026"/>
      <c r="E12" s="1026"/>
      <c r="F12" s="1026"/>
      <c r="G12" s="1026"/>
      <c r="H12" s="1026"/>
      <c r="I12" s="1026"/>
      <c r="J12" s="1026"/>
      <c r="K12" s="1026"/>
      <c r="IQ12" s="13">
        <f>IF(Data!D89="","",Data!D89)</f>
        <v>0</v>
      </c>
    </row>
    <row r="13" spans="1:251" ht="12.75">
      <c r="A13" s="1030" t="s">
        <v>1186</v>
      </c>
      <c r="B13" s="1026"/>
      <c r="C13" s="1026"/>
      <c r="D13" s="1026"/>
      <c r="E13" s="1026"/>
      <c r="F13" s="1026"/>
      <c r="G13" s="1026"/>
      <c r="H13" s="1026"/>
      <c r="I13" s="1026"/>
      <c r="J13" s="1026"/>
      <c r="K13" s="1026"/>
      <c r="IQ13" s="13">
        <f>IF(Data!D90="","",Data!D90)</f>
        <v>0</v>
      </c>
    </row>
    <row r="14" spans="1:251" ht="19.5" customHeight="1">
      <c r="A14" s="496" t="s">
        <v>1003</v>
      </c>
      <c r="B14" s="497">
        <f>IF(Input!$B$7="","",Input!$B$7)</f>
      </c>
      <c r="C14" s="498"/>
      <c r="D14" s="1020" t="s">
        <v>107</v>
      </c>
      <c r="E14" s="500">
        <v>1</v>
      </c>
      <c r="F14" s="501">
        <f>IF(Input!$C$64="","",Input!$C$64)</f>
      </c>
      <c r="G14" s="500">
        <v>5</v>
      </c>
      <c r="H14" s="501">
        <f>IF(Input!$E$64="","",Input!$E$64)</f>
      </c>
      <c r="I14" s="502" t="s">
        <v>560</v>
      </c>
      <c r="J14" s="607"/>
      <c r="K14" s="503"/>
      <c r="IQ14" s="13">
        <f>IF(Data!D91="","",Data!D91)</f>
        <v>0</v>
      </c>
    </row>
    <row r="15" spans="1:251" ht="19.5" customHeight="1">
      <c r="A15" s="496" t="s">
        <v>103</v>
      </c>
      <c r="B15" s="497">
        <f>IF(Input!$B$8="","",Input!$B$8)</f>
      </c>
      <c r="C15" s="498"/>
      <c r="D15" s="1021"/>
      <c r="E15" s="500">
        <v>2</v>
      </c>
      <c r="F15" s="501">
        <f>IF(Input!$C$65="","",Input!$C$65)</f>
      </c>
      <c r="G15" s="500">
        <v>6</v>
      </c>
      <c r="H15" s="501">
        <f>IF(Input!$E$65="","",Input!$E$65)</f>
      </c>
      <c r="I15" s="505" t="s">
        <v>50</v>
      </c>
      <c r="J15" s="506">
        <f ca="1">TODAY()</f>
        <v>40878</v>
      </c>
      <c r="K15" s="503"/>
      <c r="IQ15" s="13">
        <f>IF(Data!D92="","",Data!D92)</f>
        <v>0</v>
      </c>
    </row>
    <row r="16" spans="1:251" ht="19.5" customHeight="1">
      <c r="A16" s="496" t="s">
        <v>1041</v>
      </c>
      <c r="B16" s="497">
        <f>IF(Input!$B$10="","",Input!$B$10)</f>
      </c>
      <c r="C16" s="498"/>
      <c r="D16" s="1021"/>
      <c r="E16" s="500">
        <v>3</v>
      </c>
      <c r="F16" s="501">
        <f>IF(Input!$C$66="","",Input!$C$66)</f>
      </c>
      <c r="G16" s="500">
        <v>7</v>
      </c>
      <c r="H16" s="501">
        <f>IF(Input!$E$66="","",Input!$E$66)</f>
      </c>
      <c r="I16" s="496" t="s">
        <v>1034</v>
      </c>
      <c r="J16" s="507">
        <f>IF(Input!$B$30="","",Input!$B$30)</f>
      </c>
      <c r="K16" s="508"/>
      <c r="IQ16" s="13">
        <f>IF(Data!D93="","",Data!D93)</f>
        <v>0</v>
      </c>
    </row>
    <row r="17" spans="1:251" ht="19.5" customHeight="1">
      <c r="A17" s="496" t="s">
        <v>1004</v>
      </c>
      <c r="B17" s="497">
        <f>IF(Input!$E$5="","",Input!$E$5)</f>
      </c>
      <c r="C17" s="498"/>
      <c r="D17" s="1022"/>
      <c r="E17" s="500">
        <v>4</v>
      </c>
      <c r="F17" s="501">
        <f>IF(Input!$C$67="","",Input!$C$67)</f>
      </c>
      <c r="G17" s="500">
        <v>8</v>
      </c>
      <c r="H17" s="501">
        <f>IF(Input!$E$67="","",Input!$E$67)</f>
      </c>
      <c r="I17" s="496" t="s">
        <v>1035</v>
      </c>
      <c r="J17" s="507">
        <f>IF(Input!$B$31="","",Input!$B$31)</f>
      </c>
      <c r="K17" s="508"/>
      <c r="IQ17" s="13">
        <f>IF(Data!D94="","",Data!D94)</f>
        <v>0</v>
      </c>
    </row>
    <row r="18" spans="1:251" ht="19.5" customHeight="1">
      <c r="A18" s="510" t="s">
        <v>49</v>
      </c>
      <c r="B18" s="497">
        <f>IF(Input!$E$6="","",Input!$E$6)</f>
      </c>
      <c r="C18" s="498"/>
      <c r="D18" s="496" t="s">
        <v>1017</v>
      </c>
      <c r="E18" s="511">
        <f>IF(Input!$B$68="","",Input!$B$68)</f>
      </c>
      <c r="F18" s="512"/>
      <c r="G18" s="512"/>
      <c r="H18" s="512"/>
      <c r="I18" s="496" t="s">
        <v>1030</v>
      </c>
      <c r="J18" s="507">
        <f>IF(Input!$B$32="","",Input!$B$32)</f>
      </c>
      <c r="K18" s="508"/>
      <c r="IQ18" s="13">
        <f>IF(Data!D95="","",Data!D95)</f>
        <v>0</v>
      </c>
    </row>
    <row r="19" spans="1:251" ht="19.5" customHeight="1">
      <c r="A19" s="510" t="s">
        <v>106</v>
      </c>
      <c r="B19" s="497">
        <f>IF(Input!$E$7="","",Input!$E$7)</f>
      </c>
      <c r="C19" s="498"/>
      <c r="D19" s="496" t="s">
        <v>1018</v>
      </c>
      <c r="E19" s="511">
        <f>IF(Input!$B$69="","",Input!$B$69)</f>
      </c>
      <c r="F19" s="512"/>
      <c r="G19" s="512"/>
      <c r="H19" s="512"/>
      <c r="I19" s="496" t="s">
        <v>1036</v>
      </c>
      <c r="J19" s="507">
        <f>IF(Input!$B$33="","",Input!$B$33)</f>
      </c>
      <c r="K19" s="508"/>
      <c r="IQ19" s="13">
        <f>IF(Data!D96="","",Data!D96)</f>
        <v>0</v>
      </c>
    </row>
    <row r="20" spans="1:251" ht="19.5" customHeight="1">
      <c r="A20" s="510" t="s">
        <v>48</v>
      </c>
      <c r="B20" s="497">
        <f>IF(Input!$E$8="","",Input!$E$8)</f>
      </c>
      <c r="C20" s="498"/>
      <c r="D20" s="496" t="s">
        <v>1019</v>
      </c>
      <c r="E20" s="511">
        <f>IF(Input!$B$70="","",Input!$B$70)</f>
      </c>
      <c r="F20" s="512"/>
      <c r="G20" s="512"/>
      <c r="H20" s="512"/>
      <c r="I20" s="496" t="s">
        <v>1033</v>
      </c>
      <c r="J20" s="507">
        <f>IF(Input!$B$34="","",Input!$B$34)</f>
      </c>
      <c r="K20" s="508"/>
      <c r="IQ20" s="13">
        <f>IF(Data!D97="","",Data!D97)</f>
        <v>0</v>
      </c>
    </row>
    <row r="21" spans="1:251" ht="19.5" customHeight="1">
      <c r="A21" s="496" t="s">
        <v>1039</v>
      </c>
      <c r="B21" s="497">
        <f>IF(Input!$B$37="","",Input!$B$37)</f>
      </c>
      <c r="C21" s="498"/>
      <c r="D21" s="496" t="s">
        <v>1020</v>
      </c>
      <c r="E21" s="511">
        <f>IF(Input!$B$71="","",Input!$B$71)</f>
      </c>
      <c r="F21" s="512"/>
      <c r="G21" s="512"/>
      <c r="H21" s="512"/>
      <c r="I21" s="496" t="s">
        <v>1037</v>
      </c>
      <c r="J21" s="507">
        <f>IF(Input!$B$35="","",Input!$B$35)</f>
      </c>
      <c r="K21" s="508"/>
      <c r="IQ21" s="13">
        <f>IF(Data!D98="","",Data!D98)</f>
        <v>0</v>
      </c>
    </row>
    <row r="22" spans="1:251" ht="19.5" customHeight="1">
      <c r="A22" s="496" t="s">
        <v>98</v>
      </c>
      <c r="B22" s="573"/>
      <c r="C22" s="574"/>
      <c r="D22" s="496" t="s">
        <v>1021</v>
      </c>
      <c r="E22" s="511">
        <f>IF(Input!$B$72="","",Input!$B$72)</f>
      </c>
      <c r="F22" s="512"/>
      <c r="G22" s="512"/>
      <c r="H22" s="512"/>
      <c r="I22" s="496" t="s">
        <v>1038</v>
      </c>
      <c r="J22" s="507">
        <f>IF(Input!$B$36="","",Input!$B$36)</f>
      </c>
      <c r="K22" s="508"/>
      <c r="IQ22" s="13">
        <f>IF(Data!D99="","",Data!D99)</f>
        <v>0</v>
      </c>
    </row>
    <row r="23" spans="1:251" ht="19.5" customHeight="1">
      <c r="A23" s="496" t="s">
        <v>104</v>
      </c>
      <c r="B23" s="497">
        <f>IF(Input!$B$9="","",Input!$B$9)</f>
      </c>
      <c r="C23" s="498"/>
      <c r="D23" s="496" t="s">
        <v>1022</v>
      </c>
      <c r="E23" s="511">
        <f>IF(Input!$B$73="","",Input!$B$73)</f>
      </c>
      <c r="F23" s="512"/>
      <c r="G23" s="512"/>
      <c r="H23" s="512"/>
      <c r="I23" s="513"/>
      <c r="J23" s="514"/>
      <c r="K23" s="515"/>
      <c r="IQ23" s="13">
        <f>IF(Data!D100="","",Data!D100)</f>
        <v>0</v>
      </c>
    </row>
    <row r="24" spans="1:251" ht="19.5" customHeight="1">
      <c r="A24" s="496" t="s">
        <v>105</v>
      </c>
      <c r="B24" s="516">
        <f>'Setup Bm Input'!$B$34</f>
      </c>
      <c r="C24" s="498" t="str">
        <f>IF(Input!$B$6="","",IF(Input!$B$6="E","in.",IF(Input!$B$6="M","mm")))</f>
        <v>in.</v>
      </c>
      <c r="D24" s="496" t="s">
        <v>1024</v>
      </c>
      <c r="E24" s="511">
        <f>IF('Setup Bm Input'!$A$46="","",'Setup Bm Input'!$A$46)</f>
      </c>
      <c r="F24" s="512"/>
      <c r="G24" s="512"/>
      <c r="H24" s="512"/>
      <c r="I24" s="517"/>
      <c r="J24" s="518"/>
      <c r="K24" s="515"/>
      <c r="IQ24" s="13">
        <f>IF(Data!D101="","",Data!D101)</f>
        <v>0</v>
      </c>
    </row>
    <row r="25" spans="1:251" ht="19.5" customHeight="1">
      <c r="A25" s="589"/>
      <c r="B25" s="590"/>
      <c r="C25" s="590"/>
      <c r="D25" s="589"/>
      <c r="E25" s="591"/>
      <c r="F25" s="512"/>
      <c r="G25" s="512"/>
      <c r="H25" s="512"/>
      <c r="I25" s="517"/>
      <c r="J25" s="518"/>
      <c r="K25" s="515"/>
      <c r="IQ25" s="13">
        <f>IF(Data!D102="","",Data!D102)</f>
        <v>0</v>
      </c>
    </row>
    <row r="26" spans="1:251" ht="19.5" customHeight="1">
      <c r="A26" s="517"/>
      <c r="B26" s="652"/>
      <c r="C26" s="652"/>
      <c r="D26" s="517"/>
      <c r="E26" s="653"/>
      <c r="F26" s="512"/>
      <c r="G26" s="512"/>
      <c r="H26" s="512"/>
      <c r="I26" s="517"/>
      <c r="J26" s="518"/>
      <c r="K26" s="515"/>
      <c r="IQ26" s="13"/>
    </row>
    <row r="27" spans="1:251" ht="12.75">
      <c r="A27" s="1031" t="s">
        <v>108</v>
      </c>
      <c r="B27" s="1032"/>
      <c r="C27" s="1032"/>
      <c r="D27" s="1032"/>
      <c r="E27" s="1032"/>
      <c r="F27" s="1032"/>
      <c r="G27" s="1032"/>
      <c r="H27" s="1032"/>
      <c r="I27" s="1032"/>
      <c r="J27" s="1032"/>
      <c r="K27" s="1032"/>
      <c r="IQ27" s="13">
        <f>IF(Data!D103="","",Data!D103)</f>
        <v>0</v>
      </c>
    </row>
    <row r="28" spans="1:251" ht="15.75">
      <c r="A28" s="494" t="s">
        <v>1093</v>
      </c>
      <c r="B28" s="493"/>
      <c r="C28" s="493"/>
      <c r="D28" s="493"/>
      <c r="E28" s="503"/>
      <c r="F28" s="494" t="s">
        <v>1151</v>
      </c>
      <c r="G28" s="503"/>
      <c r="H28" s="494"/>
      <c r="I28" s="503"/>
      <c r="J28" s="629"/>
      <c r="K28" s="629"/>
      <c r="IQ28" s="13"/>
    </row>
    <row r="29" spans="1:251" ht="15.75">
      <c r="A29" s="494" t="s">
        <v>807</v>
      </c>
      <c r="B29" s="493"/>
      <c r="C29" s="503"/>
      <c r="D29" s="503"/>
      <c r="E29" s="503"/>
      <c r="F29" s="494" t="s">
        <v>809</v>
      </c>
      <c r="G29" s="503"/>
      <c r="H29" s="494"/>
      <c r="I29" s="493"/>
      <c r="J29" s="629"/>
      <c r="K29" s="629"/>
      <c r="IQ29" s="13"/>
    </row>
    <row r="30" spans="1:251" ht="15.75">
      <c r="A30" s="528" t="s">
        <v>1127</v>
      </c>
      <c r="B30" s="493"/>
      <c r="C30" s="493"/>
      <c r="D30" s="503"/>
      <c r="E30" s="503"/>
      <c r="F30" s="494" t="s">
        <v>1152</v>
      </c>
      <c r="G30" s="503"/>
      <c r="H30" s="494"/>
      <c r="I30" s="493"/>
      <c r="J30" s="629"/>
      <c r="K30" s="629"/>
      <c r="IQ30" s="13"/>
    </row>
    <row r="31" spans="1:251" ht="15.75">
      <c r="A31" s="528" t="s">
        <v>826</v>
      </c>
      <c r="B31" s="494"/>
      <c r="C31" s="503"/>
      <c r="D31" s="503"/>
      <c r="E31" s="503"/>
      <c r="F31" s="70" t="s">
        <v>834</v>
      </c>
      <c r="G31" s="503"/>
      <c r="H31" s="494"/>
      <c r="I31" s="493"/>
      <c r="J31" s="629"/>
      <c r="K31" s="629"/>
      <c r="IQ31" s="13"/>
    </row>
    <row r="32" spans="1:251" ht="15.75">
      <c r="A32" s="494" t="s">
        <v>1096</v>
      </c>
      <c r="B32" s="494"/>
      <c r="C32" s="503"/>
      <c r="D32" s="503"/>
      <c r="E32" s="503"/>
      <c r="F32" s="70" t="s">
        <v>835</v>
      </c>
      <c r="G32" s="503"/>
      <c r="H32" s="494"/>
      <c r="I32" s="629"/>
      <c r="J32" s="629"/>
      <c r="K32" s="629"/>
      <c r="IQ32" s="13"/>
    </row>
    <row r="33" spans="1:251" ht="15.75">
      <c r="A33" s="494" t="s">
        <v>1098</v>
      </c>
      <c r="B33" s="493"/>
      <c r="C33" s="503"/>
      <c r="D33" s="503"/>
      <c r="E33" s="503"/>
      <c r="F33" s="70" t="s">
        <v>836</v>
      </c>
      <c r="G33" s="503"/>
      <c r="H33" s="494"/>
      <c r="I33" s="629"/>
      <c r="J33" s="629"/>
      <c r="K33" s="629"/>
      <c r="IQ33" s="13"/>
    </row>
    <row r="34" spans="1:251" ht="15.75">
      <c r="A34" s="494" t="s">
        <v>1097</v>
      </c>
      <c r="B34" s="494"/>
      <c r="C34" s="493"/>
      <c r="D34" s="503"/>
      <c r="E34" s="503"/>
      <c r="F34" s="494" t="s">
        <v>1135</v>
      </c>
      <c r="G34" s="503"/>
      <c r="H34" s="494"/>
      <c r="I34" s="629"/>
      <c r="J34" s="629"/>
      <c r="K34" s="629"/>
      <c r="IQ34" s="13"/>
    </row>
    <row r="35" spans="1:251" ht="15.75">
      <c r="A35" s="494" t="s">
        <v>833</v>
      </c>
      <c r="B35" s="494"/>
      <c r="C35" s="493"/>
      <c r="D35" s="503"/>
      <c r="E35" s="503"/>
      <c r="F35" s="494" t="s">
        <v>1230</v>
      </c>
      <c r="G35" s="503"/>
      <c r="H35" s="494"/>
      <c r="I35" s="629"/>
      <c r="J35" s="629"/>
      <c r="K35" s="629"/>
      <c r="IQ35" s="13"/>
    </row>
    <row r="36" spans="1:251" ht="15.75">
      <c r="A36" s="494" t="s">
        <v>814</v>
      </c>
      <c r="B36" s="494"/>
      <c r="C36" s="493"/>
      <c r="D36" s="503"/>
      <c r="E36" s="503"/>
      <c r="F36" s="494" t="s">
        <v>1213</v>
      </c>
      <c r="G36" s="503"/>
      <c r="H36" s="494"/>
      <c r="I36" s="629"/>
      <c r="J36" s="629"/>
      <c r="K36" s="629"/>
      <c r="IQ36" s="13"/>
    </row>
    <row r="37" spans="1:251" ht="15.75">
      <c r="A37" s="494" t="s">
        <v>1124</v>
      </c>
      <c r="B37" s="494"/>
      <c r="C37" s="493"/>
      <c r="D37" s="503"/>
      <c r="E37" s="503"/>
      <c r="F37" s="494" t="s">
        <v>1215</v>
      </c>
      <c r="G37" s="503"/>
      <c r="H37" s="494"/>
      <c r="I37" s="629"/>
      <c r="J37" s="629"/>
      <c r="K37" s="629"/>
      <c r="IQ37" s="13"/>
    </row>
    <row r="38" spans="1:251" ht="15.75">
      <c r="A38" s="494"/>
      <c r="B38" s="494"/>
      <c r="C38" s="493"/>
      <c r="D38" s="503"/>
      <c r="E38" s="503"/>
      <c r="F38" s="494" t="s">
        <v>794</v>
      </c>
      <c r="G38" s="503"/>
      <c r="H38" s="494"/>
      <c r="I38" s="629"/>
      <c r="J38" s="629"/>
      <c r="K38" s="629"/>
      <c r="IQ38" s="13"/>
    </row>
    <row r="39" spans="1:251" ht="12.75">
      <c r="A39" s="493"/>
      <c r="B39" s="493"/>
      <c r="C39" s="503"/>
      <c r="D39" s="503"/>
      <c r="E39" s="503"/>
      <c r="F39" s="494"/>
      <c r="G39" s="503"/>
      <c r="H39" s="494"/>
      <c r="I39" s="629"/>
      <c r="J39" s="629"/>
      <c r="K39" s="629"/>
      <c r="IQ39" s="13"/>
    </row>
    <row r="40" spans="1:251" ht="12.75">
      <c r="A40" s="493" t="s">
        <v>55</v>
      </c>
      <c r="B40" s="493"/>
      <c r="C40" s="493"/>
      <c r="D40" s="503"/>
      <c r="E40" s="493"/>
      <c r="F40" s="493"/>
      <c r="G40" s="494"/>
      <c r="H40" s="493"/>
      <c r="I40" s="494"/>
      <c r="J40" s="503"/>
      <c r="K40" s="629"/>
      <c r="IQ40" s="13"/>
    </row>
    <row r="41" spans="1:251" ht="12.75">
      <c r="A41" s="493"/>
      <c r="B41" s="493"/>
      <c r="C41" s="493"/>
      <c r="D41" s="493"/>
      <c r="E41" s="493"/>
      <c r="F41" s="493"/>
      <c r="G41" s="493"/>
      <c r="H41" s="493"/>
      <c r="I41" s="493"/>
      <c r="J41" s="493"/>
      <c r="K41" s="493"/>
      <c r="IQ41" s="13">
        <f>IF(Data!D110="","",Data!D110)</f>
        <v>0</v>
      </c>
    </row>
    <row r="42" spans="1:11" ht="12.75">
      <c r="A42" s="1031" t="s">
        <v>1187</v>
      </c>
      <c r="B42" s="1032"/>
      <c r="C42" s="1032"/>
      <c r="D42" s="1032"/>
      <c r="E42" s="1032"/>
      <c r="F42" s="1032"/>
      <c r="G42" s="1032"/>
      <c r="H42" s="1032"/>
      <c r="I42" s="1032"/>
      <c r="J42" s="1032"/>
      <c r="K42" s="1032"/>
    </row>
    <row r="43" spans="1:11" ht="12.75">
      <c r="A43" s="493"/>
      <c r="B43" s="549"/>
      <c r="C43" s="549"/>
      <c r="D43" s="549">
        <f>IF(C2="","",C2)</f>
      </c>
      <c r="E43" s="549">
        <f>IF(D2="","",D2)</f>
      </c>
      <c r="F43" s="549"/>
      <c r="G43" s="549"/>
      <c r="H43" s="549"/>
      <c r="I43" s="567"/>
      <c r="J43" s="493"/>
      <c r="K43" s="493"/>
    </row>
    <row r="44" spans="1:11" ht="15.75">
      <c r="A44" s="494" t="s">
        <v>1075</v>
      </c>
      <c r="B44" s="493"/>
      <c r="C44" s="344" t="s">
        <v>1091</v>
      </c>
      <c r="D44" s="70" t="s">
        <v>1092</v>
      </c>
      <c r="E44" s="567" t="str">
        <f>IF(Input!$B$6="","",IF(Input!$B$6="E","lbs.",IF(Input!$B$6="M","N")))</f>
        <v>lbs.</v>
      </c>
      <c r="F44" s="595" t="s">
        <v>1188</v>
      </c>
      <c r="G44" s="493"/>
      <c r="H44" s="344" t="s">
        <v>1189</v>
      </c>
      <c r="I44" s="70" t="s">
        <v>1190</v>
      </c>
      <c r="J44" s="567" t="str">
        <f>IF(Input!$B$6="","",IF(Input!$B$6="E","lbs.",IF(Input!$B$6="M","N")))</f>
        <v>lbs.</v>
      </c>
      <c r="K44" s="493"/>
    </row>
    <row r="45" spans="1:11" ht="15.75">
      <c r="A45" s="494" t="s">
        <v>800</v>
      </c>
      <c r="B45" s="493"/>
      <c r="C45" s="344" t="s">
        <v>1105</v>
      </c>
      <c r="D45" s="70" t="s">
        <v>1106</v>
      </c>
      <c r="E45" s="567" t="str">
        <f>IF(Input!$B$6="","",IF(Input!$B$6="E","lbs.",IF(Input!$B$6="M","N")))</f>
        <v>lbs.</v>
      </c>
      <c r="F45" s="344" t="s">
        <v>1191</v>
      </c>
      <c r="G45" s="493"/>
      <c r="H45" s="493"/>
      <c r="I45" s="695" t="s">
        <v>1192</v>
      </c>
      <c r="J45" s="493"/>
      <c r="K45" s="493"/>
    </row>
    <row r="46" spans="1:11" ht="15.75">
      <c r="A46" s="494" t="s">
        <v>96</v>
      </c>
      <c r="B46" s="493"/>
      <c r="C46" s="344" t="s">
        <v>1130</v>
      </c>
      <c r="D46" s="70" t="s">
        <v>1131</v>
      </c>
      <c r="E46" s="567" t="str">
        <f>IF(Input!$B$6="","",IF(Input!$B$6="E","lbs.",IF(Input!$B$6="M","N")))</f>
        <v>lbs.</v>
      </c>
      <c r="F46" s="493"/>
      <c r="G46" s="549"/>
      <c r="H46" s="549"/>
      <c r="I46" s="567"/>
      <c r="J46" s="493"/>
      <c r="K46" s="493"/>
    </row>
    <row r="47" spans="1:11" ht="12.75">
      <c r="A47" s="493"/>
      <c r="B47" s="493"/>
      <c r="C47" s="493"/>
      <c r="D47" s="493"/>
      <c r="E47" s="493"/>
      <c r="F47" s="493"/>
      <c r="G47" s="549"/>
      <c r="H47" s="549"/>
      <c r="I47" s="567"/>
      <c r="J47" s="493"/>
      <c r="K47" s="493"/>
    </row>
    <row r="48" spans="1:11" ht="14.25">
      <c r="A48" s="654"/>
      <c r="B48" s="493"/>
      <c r="C48" s="493"/>
      <c r="D48" s="559" t="s">
        <v>1085</v>
      </c>
      <c r="E48" s="559" t="s">
        <v>1123</v>
      </c>
      <c r="F48" s="559" t="s">
        <v>1134</v>
      </c>
      <c r="G48" s="559" t="s">
        <v>1193</v>
      </c>
      <c r="H48" s="635" t="s">
        <v>1194</v>
      </c>
      <c r="I48" s="559" t="s">
        <v>1195</v>
      </c>
      <c r="J48" s="493"/>
      <c r="K48" s="493"/>
    </row>
    <row r="49" spans="1:11" ht="15.75">
      <c r="A49" s="597"/>
      <c r="B49" s="601" t="s">
        <v>113</v>
      </c>
      <c r="C49" s="560" t="s">
        <v>115</v>
      </c>
      <c r="D49" s="560" t="str">
        <f>IF(Input!$B$6="","",IF(Input!$B$6="E","(lbs.)",IF(Input!$B$6="M","(N)")))</f>
        <v>(lbs.)</v>
      </c>
      <c r="E49" s="560" t="str">
        <f>IF(Input!$B$6="","",IF(Input!$B$6="E","(lbs.)",IF(Input!$B$6="M","(N)")))</f>
        <v>(lbs.)</v>
      </c>
      <c r="F49" s="560" t="str">
        <f>IF(Input!$B$6="","",IF(Input!$B$6="E","(lbs.)",IF(Input!$B$6="M","(N)")))</f>
        <v>(lbs.)</v>
      </c>
      <c r="G49" s="560" t="str">
        <f>IF(Input!$B$6="","",IF(Input!$B$6="E","(lbs.)",IF(Input!$B$6="M","(N)")))</f>
        <v>(lbs.)</v>
      </c>
      <c r="H49" s="560" t="str">
        <f>IF(Input!$B$6="","",IF(Input!$B$6="E","(lbs.)",IF(Input!$B$6="M","(N)")))</f>
        <v>(lbs.)</v>
      </c>
      <c r="I49" s="560" t="str">
        <f>IF(Input!$B$6="","",IF(Input!$B$6="E","(lbs.)",IF(Input!$B$6="M","(N)")))</f>
        <v>(lbs.)</v>
      </c>
      <c r="J49" s="493"/>
      <c r="K49" s="493"/>
    </row>
    <row r="50" spans="1:11" ht="12.75">
      <c r="A50" s="493"/>
      <c r="B50" s="560" t="s">
        <v>90</v>
      </c>
      <c r="C50" s="594">
        <f>+IF('Setup Bm Input'!B63="","",'Setup Bm Input'!B63)</f>
      </c>
      <c r="D50" s="643">
        <f>+IF('Setup Bm Input'!D63="","",IF('Anch Move'!H56="",0,'Anch Move'!H56))</f>
      </c>
      <c r="E50" s="643">
        <f>+IF('Setup Bm Input'!D63="","",IF('Self Stress'!H56="",0,'Self Stress'!H56))</f>
      </c>
      <c r="F50" s="605">
        <f>+IF('Setup Bm Input'!D63="","",IF(Thermal!G69="",0,Thermal!G69))</f>
      </c>
      <c r="G50" s="605">
        <f>IF('Setup Bm Input'!D63="","",IF('Setup Bm Input'!$F$26="",0,IF(Input!$B$6="E",'Setup Bm Input'!E63*'Setup Bm Input'!D63*'Setup Bm Input'!$F$26/'Setup Bm Input'!$B$34,'Setup Bm Input'!E63*'Setup Bm Input'!D63*'Setup Bm Input'!$F$26/'Setup Bm Input'!$B$34/1000)))</f>
      </c>
      <c r="H50" s="605">
        <f>+IF('Setup Bm Input'!D63="","",IF('Setup Bm Input'!$F$37="",0,'Setup Bm Input'!$F$37))</f>
      </c>
      <c r="I50" s="605">
        <f>IF('Setup Bm Input'!D63="","",D50+E50+F50+G50+H50)</f>
      </c>
      <c r="J50" s="493"/>
      <c r="K50" s="493"/>
    </row>
    <row r="51" spans="1:11" ht="12.75">
      <c r="A51" s="493"/>
      <c r="B51" s="560" t="s">
        <v>91</v>
      </c>
      <c r="C51" s="594">
        <f>+IF('Setup Bm Input'!B64="","",'Setup Bm Input'!B64)</f>
      </c>
      <c r="D51" s="643">
        <f>+IF('Setup Bm Input'!D64="","",IF('Anch Move'!H57="",0,'Anch Move'!H57))</f>
      </c>
      <c r="E51" s="643">
        <f>+IF('Setup Bm Input'!D64="","",IF('Self Stress'!H57="",0,'Self Stress'!H57))</f>
      </c>
      <c r="F51" s="605">
        <f>+IF('Setup Bm Input'!D64="","",IF(Thermal!G70="",0,Thermal!G70))</f>
      </c>
      <c r="G51" s="605">
        <f>IF('Setup Bm Input'!D64="","",IF('Setup Bm Input'!$F$26="",0,IF(Input!$B$6="E",'Setup Bm Input'!E64*'Setup Bm Input'!D64*'Setup Bm Input'!$F$26/'Setup Bm Input'!$B$34,'Setup Bm Input'!E64*'Setup Bm Input'!D64*'Setup Bm Input'!$F$26/'Setup Bm Input'!$B$34/1000)))</f>
      </c>
      <c r="H51" s="605">
        <f>+IF('Setup Bm Input'!D64="","",IF('Setup Bm Input'!$F$37="",0,'Setup Bm Input'!$F$37))</f>
      </c>
      <c r="I51" s="605">
        <f>IF('Setup Bm Input'!D64="","",D51+E51+F51+G51+H51)</f>
      </c>
      <c r="J51" s="493"/>
      <c r="K51" s="493"/>
    </row>
    <row r="52" spans="1:11" ht="12.75">
      <c r="A52" s="493"/>
      <c r="B52" s="560" t="s">
        <v>92</v>
      </c>
      <c r="C52" s="594">
        <f>+IF('Setup Bm Input'!B65="","",'Setup Bm Input'!B65)</f>
      </c>
      <c r="D52" s="643">
        <f>+IF('Setup Bm Input'!D65="","",IF('Anch Move'!H58="",0,'Anch Move'!H58))</f>
      </c>
      <c r="E52" s="643">
        <f>+IF('Setup Bm Input'!D65="","",IF('Self Stress'!H58="",0,'Self Stress'!H58))</f>
      </c>
      <c r="F52" s="605">
        <f>+IF('Setup Bm Input'!D65="","",IF(Thermal!G71="",0,Thermal!G71))</f>
      </c>
      <c r="G52" s="605">
        <f>IF('Setup Bm Input'!D65="","",IF('Setup Bm Input'!$F$26="",0,IF(Input!$B$6="E",'Setup Bm Input'!E65*'Setup Bm Input'!D65*'Setup Bm Input'!$F$26/'Setup Bm Input'!$B$34,'Setup Bm Input'!E65*'Setup Bm Input'!D65*'Setup Bm Input'!$F$26/'Setup Bm Input'!$B$34/1000)))</f>
      </c>
      <c r="H52" s="605">
        <f>+IF('Setup Bm Input'!D65="","",IF('Setup Bm Input'!$F$37="",0,'Setup Bm Input'!$F$37))</f>
      </c>
      <c r="I52" s="605">
        <f>IF('Setup Bm Input'!D65="","",D52+E52+F52+G52+H52)</f>
      </c>
      <c r="J52" s="493"/>
      <c r="K52" s="493"/>
    </row>
    <row r="53" spans="1:11" ht="12.75">
      <c r="A53" s="493"/>
      <c r="B53" s="560" t="s">
        <v>93</v>
      </c>
      <c r="C53" s="594">
        <f>+IF('Setup Bm Input'!B66="","",'Setup Bm Input'!B66)</f>
      </c>
      <c r="D53" s="643">
        <f>+IF('Setup Bm Input'!D66="","",IF('Anch Move'!H59="",0,'Anch Move'!H59))</f>
      </c>
      <c r="E53" s="643">
        <f>+IF('Setup Bm Input'!D66="","",IF('Self Stress'!H59="",0,'Self Stress'!H59))</f>
      </c>
      <c r="F53" s="605">
        <f>+IF('Setup Bm Input'!D66="","",IF(Thermal!G72="",0,Thermal!G72))</f>
      </c>
      <c r="G53" s="605">
        <f>IF('Setup Bm Input'!D66="","",IF('Setup Bm Input'!$F$26="",0,IF(Input!$B$6="E",'Setup Bm Input'!E66*'Setup Bm Input'!D66*'Setup Bm Input'!$F$26/'Setup Bm Input'!$B$34,'Setup Bm Input'!E66*'Setup Bm Input'!D66*'Setup Bm Input'!$F$26/'Setup Bm Input'!$B$34/1000)))</f>
      </c>
      <c r="H53" s="605">
        <f>+IF('Setup Bm Input'!D66="","",IF('Setup Bm Input'!$F$37="",0,'Setup Bm Input'!$F$37))</f>
      </c>
      <c r="I53" s="605">
        <f>IF('Setup Bm Input'!D66="","",D53+E53+F53+G53+H53)</f>
      </c>
      <c r="J53" s="493"/>
      <c r="K53" s="493"/>
    </row>
    <row r="54" spans="1:11" ht="12.75">
      <c r="A54" s="493"/>
      <c r="B54" s="493"/>
      <c r="C54" s="493"/>
      <c r="D54" s="493"/>
      <c r="E54" s="493"/>
      <c r="F54" s="493"/>
      <c r="G54" s="493"/>
      <c r="H54" s="493"/>
      <c r="I54" s="493"/>
      <c r="J54" s="493"/>
      <c r="K54" s="493"/>
    </row>
    <row r="55" spans="1:11" ht="12.75">
      <c r="A55" s="1031" t="s">
        <v>1196</v>
      </c>
      <c r="B55" s="1032"/>
      <c r="C55" s="1032"/>
      <c r="D55" s="1032"/>
      <c r="E55" s="1032"/>
      <c r="F55" s="1032"/>
      <c r="G55" s="1032"/>
      <c r="H55" s="1032"/>
      <c r="I55" s="1032"/>
      <c r="J55" s="1032"/>
      <c r="K55" s="1032"/>
    </row>
    <row r="56" spans="1:11" ht="12.75">
      <c r="A56" s="493"/>
      <c r="B56" s="493"/>
      <c r="C56" s="493"/>
      <c r="D56" s="493"/>
      <c r="E56" s="493"/>
      <c r="F56" s="493"/>
      <c r="G56" s="493"/>
      <c r="H56" s="493"/>
      <c r="I56" s="493"/>
      <c r="J56" s="493"/>
      <c r="K56" s="493"/>
    </row>
    <row r="57" spans="1:11" ht="12.75">
      <c r="A57" s="493"/>
      <c r="B57" s="493"/>
      <c r="C57" s="493"/>
      <c r="D57" s="493"/>
      <c r="E57" s="493"/>
      <c r="F57" s="493"/>
      <c r="G57" s="493"/>
      <c r="H57" s="493"/>
      <c r="I57" s="493"/>
      <c r="J57" s="493"/>
      <c r="K57" s="493"/>
    </row>
    <row r="58" spans="1:29" ht="13.5" customHeight="1">
      <c r="A58" s="493"/>
      <c r="B58" s="595" t="s">
        <v>1214</v>
      </c>
      <c r="C58" s="494" t="s">
        <v>788</v>
      </c>
      <c r="D58" s="494"/>
      <c r="E58" s="567" t="str">
        <f>IF(Input!$B$6="","",IF(Input!$B$6="E","lbs.",IF(Input!$B$6="M","N")))</f>
        <v>lbs.</v>
      </c>
      <c r="F58" s="595" t="s">
        <v>1222</v>
      </c>
      <c r="G58" s="612" t="s">
        <v>928</v>
      </c>
      <c r="H58" s="567" t="str">
        <f>IF(Input!$B$6="","",IF(Input!$B$6="E","Deg. F",IF(Input!$B$6="M","Deg. C")))</f>
        <v>Deg. F</v>
      </c>
      <c r="I58" s="493"/>
      <c r="J58" s="493"/>
      <c r="K58" s="493"/>
      <c r="N58" s="2"/>
      <c r="O58" s="5"/>
      <c r="P58" s="5"/>
      <c r="Q58" s="5"/>
      <c r="R58" s="157"/>
      <c r="S58" s="5"/>
      <c r="T58" s="5"/>
      <c r="U58" s="2"/>
      <c r="V58" s="2"/>
      <c r="W58" s="5"/>
      <c r="X58" s="5"/>
      <c r="Y58" s="5"/>
      <c r="Z58" s="157"/>
      <c r="AA58" s="5"/>
      <c r="AB58" s="5"/>
      <c r="AC58" s="2"/>
    </row>
    <row r="59" spans="1:29" ht="12.75">
      <c r="A59" s="493"/>
      <c r="B59" s="493"/>
      <c r="C59" s="493"/>
      <c r="D59" s="493"/>
      <c r="E59" s="493"/>
      <c r="F59" s="493"/>
      <c r="G59" s="493"/>
      <c r="H59" s="493"/>
      <c r="I59" s="493"/>
      <c r="J59" s="493"/>
      <c r="K59" s="493"/>
      <c r="N59" s="2"/>
      <c r="O59" s="5"/>
      <c r="P59" s="5"/>
      <c r="Q59" s="5"/>
      <c r="R59" s="157"/>
      <c r="S59" s="5"/>
      <c r="T59" s="5"/>
      <c r="U59" s="2"/>
      <c r="V59" s="2"/>
      <c r="W59" s="5"/>
      <c r="X59" s="5"/>
      <c r="Y59" s="5"/>
      <c r="Z59" s="157"/>
      <c r="AA59" s="5"/>
      <c r="AB59" s="5"/>
      <c r="AC59" s="2"/>
    </row>
    <row r="60" spans="1:29" ht="15.75">
      <c r="A60" s="655"/>
      <c r="B60" s="595" t="s">
        <v>1217</v>
      </c>
      <c r="C60" s="494" t="s">
        <v>924</v>
      </c>
      <c r="D60" s="493"/>
      <c r="E60" s="567" t="str">
        <f>IF(Input!$B$6="","",IF(Input!$B$6="E","Deg. F",IF(Input!$B$6="M","Deg. C")))</f>
        <v>Deg. F</v>
      </c>
      <c r="F60" s="696"/>
      <c r="G60" s="493"/>
      <c r="H60" s="493"/>
      <c r="I60" s="493"/>
      <c r="J60" s="493"/>
      <c r="K60" s="493"/>
      <c r="N60" s="2"/>
      <c r="O60" s="5"/>
      <c r="P60" s="5"/>
      <c r="Q60" s="5"/>
      <c r="R60" s="157"/>
      <c r="S60" s="5"/>
      <c r="T60" s="5"/>
      <c r="U60" s="2"/>
      <c r="V60" s="2"/>
      <c r="W60" s="5"/>
      <c r="X60" s="5"/>
      <c r="Y60" s="5"/>
      <c r="Z60" s="157"/>
      <c r="AA60" s="5"/>
      <c r="AB60" s="5"/>
      <c r="AC60" s="2"/>
    </row>
    <row r="61" spans="1:29" ht="12.75">
      <c r="A61" s="493"/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N61" s="2"/>
      <c r="O61" s="5"/>
      <c r="P61" s="5"/>
      <c r="Q61" s="5"/>
      <c r="R61" s="157"/>
      <c r="S61" s="5"/>
      <c r="T61" s="5"/>
      <c r="U61" s="2"/>
      <c r="V61" s="2"/>
      <c r="W61" s="5"/>
      <c r="X61" s="5"/>
      <c r="Y61" s="5"/>
      <c r="Z61" s="157"/>
      <c r="AA61" s="5"/>
      <c r="AB61" s="5"/>
      <c r="AC61" s="2"/>
    </row>
    <row r="62" spans="1:29" ht="15.75">
      <c r="A62" s="493"/>
      <c r="B62" s="494" t="s">
        <v>1218</v>
      </c>
      <c r="C62" s="493"/>
      <c r="D62" s="493"/>
      <c r="E62" s="493"/>
      <c r="F62" s="494" t="s">
        <v>806</v>
      </c>
      <c r="G62" s="493"/>
      <c r="H62" s="493"/>
      <c r="I62" s="493"/>
      <c r="J62" s="493"/>
      <c r="K62" s="493"/>
      <c r="N62" s="2"/>
      <c r="O62" s="5"/>
      <c r="P62" s="5"/>
      <c r="Q62" s="5"/>
      <c r="R62" s="157"/>
      <c r="S62" s="5"/>
      <c r="T62" s="5"/>
      <c r="U62" s="2"/>
      <c r="V62" s="2"/>
      <c r="W62" s="5"/>
      <c r="X62" s="5"/>
      <c r="Y62" s="5"/>
      <c r="Z62" s="157"/>
      <c r="AA62" s="5"/>
      <c r="AB62" s="5"/>
      <c r="AC62" s="2"/>
    </row>
    <row r="63" spans="1:29" ht="15.75">
      <c r="A63" s="493"/>
      <c r="B63" s="494" t="s">
        <v>1219</v>
      </c>
      <c r="C63" s="493"/>
      <c r="D63" s="493"/>
      <c r="E63" s="493"/>
      <c r="F63" s="494" t="s">
        <v>858</v>
      </c>
      <c r="G63" s="493"/>
      <c r="H63" s="493"/>
      <c r="I63" s="493"/>
      <c r="J63" s="493"/>
      <c r="K63" s="493"/>
      <c r="N63" s="2"/>
      <c r="O63" s="5"/>
      <c r="P63" s="5"/>
      <c r="Q63" s="5"/>
      <c r="R63" s="157"/>
      <c r="S63" s="5"/>
      <c r="T63" s="5"/>
      <c r="U63" s="2"/>
      <c r="V63" s="2"/>
      <c r="W63" s="5"/>
      <c r="X63" s="5"/>
      <c r="Y63" s="5"/>
      <c r="Z63" s="157"/>
      <c r="AA63" s="5"/>
      <c r="AB63" s="5"/>
      <c r="AC63" s="2"/>
    </row>
    <row r="64" spans="1:29" ht="14.25">
      <c r="A64" s="493"/>
      <c r="B64" s="494" t="s">
        <v>925</v>
      </c>
      <c r="C64" s="493"/>
      <c r="D64" s="493"/>
      <c r="E64" s="493"/>
      <c r="F64" s="494" t="s">
        <v>859</v>
      </c>
      <c r="G64" s="493"/>
      <c r="H64" s="493"/>
      <c r="I64" s="493"/>
      <c r="J64" s="493"/>
      <c r="K64" s="493"/>
      <c r="N64" s="2"/>
      <c r="O64" s="5"/>
      <c r="P64" s="5"/>
      <c r="Q64" s="5"/>
      <c r="R64" s="157"/>
      <c r="S64" s="5"/>
      <c r="T64" s="5"/>
      <c r="U64" s="2"/>
      <c r="V64" s="2"/>
      <c r="W64" s="5"/>
      <c r="X64" s="5"/>
      <c r="Y64" s="5"/>
      <c r="Z64" s="157"/>
      <c r="AA64" s="5"/>
      <c r="AB64" s="5"/>
      <c r="AC64" s="2"/>
    </row>
    <row r="65" spans="1:29" ht="12.75">
      <c r="A65" s="493"/>
      <c r="B65" s="494" t="s">
        <v>926</v>
      </c>
      <c r="C65" s="493"/>
      <c r="D65" s="493"/>
      <c r="E65" s="493"/>
      <c r="F65" s="493"/>
      <c r="G65" s="493"/>
      <c r="H65" s="493"/>
      <c r="I65" s="493"/>
      <c r="J65" s="493"/>
      <c r="K65" s="493"/>
      <c r="M65" s="122"/>
      <c r="N65" s="2"/>
      <c r="O65" s="4"/>
      <c r="P65" s="158"/>
      <c r="Q65" s="158"/>
      <c r="R65" s="158"/>
      <c r="S65" s="158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19" ht="15">
      <c r="A66" s="493"/>
      <c r="B66" s="697" t="s">
        <v>927</v>
      </c>
      <c r="C66" s="608"/>
      <c r="D66" s="608"/>
      <c r="E66" s="493"/>
      <c r="F66" s="493"/>
      <c r="G66" s="493"/>
      <c r="H66" s="493"/>
      <c r="I66" s="559" t="s">
        <v>1220</v>
      </c>
      <c r="J66" s="698" t="s">
        <v>1221</v>
      </c>
      <c r="K66" s="530"/>
      <c r="M66" s="122"/>
      <c r="O66" s="4"/>
      <c r="P66" s="5"/>
      <c r="Q66" s="5"/>
      <c r="R66" s="5"/>
      <c r="S66" s="5"/>
    </row>
    <row r="67" spans="1:19" ht="14.25">
      <c r="A67" s="493"/>
      <c r="B67" s="493"/>
      <c r="C67" s="493"/>
      <c r="D67" s="493"/>
      <c r="E67" s="493"/>
      <c r="F67" s="608"/>
      <c r="G67" s="559" t="s">
        <v>1204</v>
      </c>
      <c r="H67" s="608"/>
      <c r="I67" s="551" t="s">
        <v>557</v>
      </c>
      <c r="J67" s="551" t="s">
        <v>556</v>
      </c>
      <c r="K67" s="530"/>
      <c r="O67" s="4"/>
      <c r="P67" s="157"/>
      <c r="Q67" s="157"/>
      <c r="R67" s="157"/>
      <c r="S67" s="157"/>
    </row>
    <row r="68" spans="1:19" ht="14.25">
      <c r="A68" s="493"/>
      <c r="B68" s="608"/>
      <c r="C68" s="608"/>
      <c r="D68" s="559" t="s">
        <v>1202</v>
      </c>
      <c r="E68" s="559" t="s">
        <v>1195</v>
      </c>
      <c r="F68" s="559" t="s">
        <v>1203</v>
      </c>
      <c r="G68" s="551" t="s">
        <v>557</v>
      </c>
      <c r="H68" s="699" t="s">
        <v>557</v>
      </c>
      <c r="I68" s="552" t="s">
        <v>62</v>
      </c>
      <c r="J68" s="552" t="s">
        <v>62</v>
      </c>
      <c r="K68" s="700"/>
      <c r="O68" s="4"/>
      <c r="P68" s="5"/>
      <c r="Q68" s="5"/>
      <c r="R68" s="5"/>
      <c r="S68" s="5"/>
    </row>
    <row r="69" spans="1:19" ht="12.75">
      <c r="A69" s="493"/>
      <c r="B69" s="608"/>
      <c r="C69" s="701"/>
      <c r="D69" s="551" t="s">
        <v>1198</v>
      </c>
      <c r="E69" s="551" t="s">
        <v>1216</v>
      </c>
      <c r="F69" s="685" t="s">
        <v>1197</v>
      </c>
      <c r="G69" s="552" t="s">
        <v>1199</v>
      </c>
      <c r="H69" s="702" t="s">
        <v>1200</v>
      </c>
      <c r="I69" s="703" t="s">
        <v>1201</v>
      </c>
      <c r="J69" s="703" t="s">
        <v>1212</v>
      </c>
      <c r="K69" s="549"/>
      <c r="O69" s="2"/>
      <c r="P69" s="5"/>
      <c r="Q69" s="5"/>
      <c r="R69" s="5"/>
      <c r="S69" s="5"/>
    </row>
    <row r="70" spans="1:19" ht="12.75">
      <c r="A70" s="493"/>
      <c r="B70" s="547" t="s">
        <v>112</v>
      </c>
      <c r="C70" s="560" t="s">
        <v>115</v>
      </c>
      <c r="D70" s="638" t="str">
        <f>IF(Input!$B$6="","",IF(Input!$B$6="E","(lbs.)",IF(Input!$B$6="M","(N)")))</f>
        <v>(lbs.)</v>
      </c>
      <c r="E70" s="638" t="str">
        <f>IF(Input!$B$6="","",IF(Input!$B$6="E","(lbs.)",IF(Input!$B$6="M","(N)")))</f>
        <v>(lbs.)</v>
      </c>
      <c r="F70" s="638" t="str">
        <f>IF(Input!$B$6="","",IF(Input!$B$6="E","(lbs.)",IF(Input!$B$6="M","(N)")))</f>
        <v>(lbs.)</v>
      </c>
      <c r="G70" s="638" t="str">
        <f>IF(Input!$B$6="","",IF(Input!$B$6="E","(lbs.)",IF(Input!$B$6="M","(N)")))</f>
        <v>(lbs.)</v>
      </c>
      <c r="H70" s="658" t="s">
        <v>63</v>
      </c>
      <c r="I70" s="638" t="str">
        <f>IF(Input!$B$6="","",IF(Input!$B$6="E","(Deg. F)",IF(Input!$B$6="M","Deg. C")))</f>
        <v>(Deg. F)</v>
      </c>
      <c r="J70" s="638" t="str">
        <f>IF(Input!$B$6="","",IF(Input!$B$6="E","(Deg. F)",IF(Input!$B$6="M","Deg. C")))</f>
        <v>(Deg. F)</v>
      </c>
      <c r="K70" s="530"/>
      <c r="O70" s="4"/>
      <c r="P70" s="158"/>
      <c r="Q70" s="158"/>
      <c r="R70" s="158"/>
      <c r="S70" s="158"/>
    </row>
    <row r="71" spans="1:19" ht="12.75">
      <c r="A71" s="493"/>
      <c r="B71" s="560" t="s">
        <v>90</v>
      </c>
      <c r="C71" s="594">
        <f>+C50</f>
      </c>
      <c r="D71" s="605">
        <f>+IF('Setup Bm Input'!D63="","",'Setup Bm Input'!$B$29)</f>
      </c>
      <c r="E71" s="605">
        <f>+I50</f>
      </c>
      <c r="F71" s="605">
        <f>+IF('Setup Bm Input'!D63="","",D71+E71)</f>
      </c>
      <c r="G71" s="605">
        <f>IF('Setup Bm Input'!D63="","",IF('Setup Bm Input'!F63="","No Fu Input",IF(Input!$B$6="E",0.8*'Setup Bm Input'!D63*'Setup Bm Input'!F63,0.8*'Setup Bm Input'!D63*'Setup Bm Input'!F63/1000)))</f>
      </c>
      <c r="H71" s="602">
        <f>+IF('Setup Bm Input'!D63="","",IF(G71="No Fu Input","No Fu Input",IF(((G71-F71)&lt;0),"NG/Exceeds","No")))</f>
      </c>
      <c r="I71" s="704">
        <f>IF('Setup Bm Input'!D63="","",IF('Setup Bm Input'!$F$34="Yes","NA SS Bed",IF(H71="No Fu Input","No Fu Input",IF(Input!$B$6="E",(G71-(F71-G50))/(Thermal!$D$54*'Setup Bm Input'!E63*'Setup Bm Input'!D63),(G71-(F71-G50))/(Thermal!$D$54*'Setup Bm Input'!E63*'Setup Bm Input'!D63)*1000))))</f>
      </c>
      <c r="J71" s="704">
        <f>+IF('Setup Bm Input'!D63="","",IF('Setup Bm Input'!$F$34="Yes","NA SS Bed",IF(I71="No Fu Input","No Fu Inupt",Thermal!$D$56-'Singlet F'!I71)))</f>
      </c>
      <c r="K71" s="554"/>
      <c r="O71" s="4"/>
      <c r="P71" s="149"/>
      <c r="Q71" s="149"/>
      <c r="R71" s="149"/>
      <c r="S71" s="149"/>
    </row>
    <row r="72" spans="1:19" ht="12.75">
      <c r="A72" s="493"/>
      <c r="B72" s="560" t="s">
        <v>91</v>
      </c>
      <c r="C72" s="594">
        <f>+C51</f>
      </c>
      <c r="D72" s="605">
        <f>+IF('Setup Bm Input'!D64="","",'Setup Bm Input'!$B$29)</f>
      </c>
      <c r="E72" s="605">
        <f>+I51</f>
      </c>
      <c r="F72" s="605">
        <f>+IF('Setup Bm Input'!D64="","",D72+E72)</f>
      </c>
      <c r="G72" s="605">
        <f>IF('Setup Bm Input'!D64="","",IF('Setup Bm Input'!F64="","No Fu Input",IF(Input!$B$6="E",0.8*'Setup Bm Input'!D64*'Setup Bm Input'!F64,0.8*'Setup Bm Input'!D64*'Setup Bm Input'!F64/1000)))</f>
      </c>
      <c r="H72" s="602">
        <f>+IF('Setup Bm Input'!D64="","",IF(G72="No Fu Input","No Fu Input",IF(((G72-F72)&lt;0),"NG/Exceeds","No")))</f>
      </c>
      <c r="I72" s="704">
        <f>IF('Setup Bm Input'!D64="","",IF('Setup Bm Input'!$F$34="Yes","NA SS Bed",IF(H72="No Fu Input","No Fu Input",IF(Input!$B$6="E",(G72-(F72-G51))/(Thermal!$D$54*'Setup Bm Input'!E64*'Setup Bm Input'!D64),(G72-(F72-G51))/(Thermal!$D$54*'Setup Bm Input'!E64*'Setup Bm Input'!D64)*1000))))</f>
      </c>
      <c r="J72" s="704">
        <f>+IF('Setup Bm Input'!D64="","",IF('Setup Bm Input'!$F$34="Yes","NA SS Bed",IF(I72="No Fu Input","No Fu Inupt",Thermal!$D$56-'Singlet F'!I72)))</f>
      </c>
      <c r="K72" s="530"/>
      <c r="O72" s="4"/>
      <c r="P72" s="157"/>
      <c r="Q72" s="157"/>
      <c r="R72" s="157"/>
      <c r="S72" s="157"/>
    </row>
    <row r="73" spans="1:19" ht="12.75">
      <c r="A73" s="493"/>
      <c r="B73" s="667" t="s">
        <v>92</v>
      </c>
      <c r="C73" s="594">
        <f>+C52</f>
      </c>
      <c r="D73" s="605">
        <f>+IF('Setup Bm Input'!D65="","",'Setup Bm Input'!$B$29)</f>
      </c>
      <c r="E73" s="605">
        <f>+I52</f>
      </c>
      <c r="F73" s="605">
        <f>+IF('Setup Bm Input'!D65="","",D73+E73)</f>
      </c>
      <c r="G73" s="605">
        <f>IF('Setup Bm Input'!D65="","",IF('Setup Bm Input'!F65="","No Fu Input",IF(Input!$B$6="E",0.8*'Setup Bm Input'!D65*'Setup Bm Input'!F65,0.8*'Setup Bm Input'!D65*'Setup Bm Input'!F65/1000)))</f>
      </c>
      <c r="H73" s="602">
        <f>+IF('Setup Bm Input'!D65="","",IF(G73="No Fu Input","No Fu Input",IF(((G73-F73)&lt;0),"NG/Exceeds","No")))</f>
      </c>
      <c r="I73" s="704">
        <f>IF('Setup Bm Input'!D65="","",IF('Setup Bm Input'!$F$34="Yes","NA SS Bed",IF(H73="No Fu Input","No Fu Input",IF(Input!$B$6="E",(G73-(F73-G52))/(Thermal!$D$54*'Setup Bm Input'!E65*'Setup Bm Input'!D65),(G73-(F73-G52))/(Thermal!$D$54*'Setup Bm Input'!E65*'Setup Bm Input'!D65)*1000))))</f>
      </c>
      <c r="J73" s="704">
        <f>+IF('Setup Bm Input'!D65="","",IF('Setup Bm Input'!$F$34="Yes","NA SS Bed",IF(I73="No Fu Input","No Fu Inupt",Thermal!$D$56-'Singlet F'!I73)))</f>
      </c>
      <c r="K73" s="530"/>
      <c r="O73" s="4"/>
      <c r="P73" s="5"/>
      <c r="Q73" s="5"/>
      <c r="R73" s="5"/>
      <c r="S73" s="5"/>
    </row>
    <row r="74" spans="1:19" ht="12.75">
      <c r="A74" s="493"/>
      <c r="B74" s="560" t="s">
        <v>93</v>
      </c>
      <c r="C74" s="594">
        <f>+C53</f>
      </c>
      <c r="D74" s="605">
        <f>+IF('Setup Bm Input'!D66="","",'Setup Bm Input'!$B$29)</f>
      </c>
      <c r="E74" s="605">
        <f>+I53</f>
      </c>
      <c r="F74" s="605">
        <f>+IF('Setup Bm Input'!D66="","",D74+E74)</f>
      </c>
      <c r="G74" s="605">
        <f>IF('Setup Bm Input'!D66="","",IF('Setup Bm Input'!F66="","No Fu Input",IF(Input!$B$6="E",0.8*'Setup Bm Input'!D66*'Setup Bm Input'!F66,0.8*'Setup Bm Input'!D66*'Setup Bm Input'!F66/1000)))</f>
      </c>
      <c r="H74" s="602">
        <f>+IF('Setup Bm Input'!D66="","",IF(G74="No Fu Input","No Fu Input",IF(((G74-F74)&lt;0),"NG/Exceeds","No")))</f>
      </c>
      <c r="I74" s="704">
        <f>IF('Setup Bm Input'!D66="","",IF('Setup Bm Input'!$F$34="Yes","NA SS Bed",IF(H74="No Fu Input","No Fu Input",IF(Input!$B$6="E",(G74-(F74-G53))/(Thermal!$D$54*'Setup Bm Input'!E66*'Setup Bm Input'!D66),(G74-(F74-G53))/(Thermal!$D$54*'Setup Bm Input'!E66*'Setup Bm Input'!D66)*1000))))</f>
      </c>
      <c r="J74" s="704">
        <f>+IF('Setup Bm Input'!D66="","",IF('Setup Bm Input'!$F$34="Yes","NA SS Bed",IF(I74="No Fu Input","No Fu Inupt",Thermal!$D$56-'Singlet F'!I74)))</f>
      </c>
      <c r="K74" s="530"/>
      <c r="O74" s="4"/>
      <c r="P74" s="5"/>
      <c r="Q74" s="5"/>
      <c r="R74" s="5"/>
      <c r="S74" s="5"/>
    </row>
    <row r="75" spans="1:19" ht="12.75">
      <c r="A75" s="493"/>
      <c r="B75" s="493"/>
      <c r="C75" s="493"/>
      <c r="D75" s="493"/>
      <c r="E75" s="493"/>
      <c r="F75" s="493"/>
      <c r="G75" s="493"/>
      <c r="H75" s="493"/>
      <c r="I75" s="493"/>
      <c r="J75" s="530"/>
      <c r="K75" s="530"/>
      <c r="O75" s="4"/>
      <c r="P75" s="5"/>
      <c r="Q75" s="5"/>
      <c r="R75" s="5"/>
      <c r="S75" s="5"/>
    </row>
    <row r="76" spans="1:11" ht="12.75">
      <c r="A76" s="493"/>
      <c r="B76" s="493"/>
      <c r="C76" s="493"/>
      <c r="D76" s="493"/>
      <c r="E76" s="493"/>
      <c r="F76" s="493"/>
      <c r="G76" s="493"/>
      <c r="H76" s="493"/>
      <c r="I76" s="493"/>
      <c r="J76" s="493"/>
      <c r="K76" s="493"/>
    </row>
    <row r="77" spans="1:11" ht="12.75">
      <c r="A77" s="655" t="s">
        <v>99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</row>
    <row r="78" spans="1:11" ht="12.75">
      <c r="A78" s="493"/>
      <c r="B78" s="694"/>
      <c r="C78" s="694"/>
      <c r="D78" s="694"/>
      <c r="E78" s="694"/>
      <c r="F78" s="694"/>
      <c r="G78" s="694"/>
      <c r="H78" s="694"/>
      <c r="I78" s="694"/>
      <c r="J78" s="694"/>
      <c r="K78" s="694"/>
    </row>
    <row r="79" spans="1:11" ht="12.75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</row>
    <row r="80" spans="1:11" ht="12.75">
      <c r="A80" s="493"/>
      <c r="B80" s="493"/>
      <c r="C80" s="493"/>
      <c r="D80" s="493"/>
      <c r="E80" s="493"/>
      <c r="F80" s="493"/>
      <c r="G80" s="493"/>
      <c r="H80" s="692"/>
      <c r="I80" s="530"/>
      <c r="J80" s="530"/>
      <c r="K80" s="530"/>
    </row>
    <row r="81" spans="1:11" ht="12.75">
      <c r="A81" s="493"/>
      <c r="B81" s="493"/>
      <c r="C81" s="493"/>
      <c r="D81" s="493"/>
      <c r="E81" s="493"/>
      <c r="F81" s="692" t="s">
        <v>1016</v>
      </c>
      <c r="G81" s="569">
        <f>+IF(Input!E14="","",Input!E14)</f>
      </c>
      <c r="H81" s="616"/>
      <c r="I81" s="525"/>
      <c r="J81" s="493"/>
      <c r="K81" s="493"/>
    </row>
    <row r="82" spans="1:11" ht="12.75">
      <c r="A82" s="693" t="s">
        <v>1271</v>
      </c>
      <c r="B82" s="493"/>
      <c r="C82" s="493"/>
      <c r="D82" s="493"/>
      <c r="E82" s="493"/>
      <c r="F82" s="493"/>
      <c r="G82" s="493"/>
      <c r="H82" s="493"/>
      <c r="I82" s="493"/>
      <c r="J82" s="493"/>
      <c r="K82" s="493"/>
    </row>
    <row r="83" spans="1:8" ht="12.75">
      <c r="A83" s="161"/>
      <c r="B83" s="161"/>
      <c r="C83" s="161"/>
      <c r="D83" s="161"/>
      <c r="E83" s="161"/>
      <c r="F83" s="161"/>
      <c r="G83" s="161"/>
      <c r="H83" s="59"/>
    </row>
    <row r="84" spans="1:8" ht="12.75">
      <c r="A84" s="162"/>
      <c r="B84" s="162"/>
      <c r="C84" s="162"/>
      <c r="D84" s="162"/>
      <c r="E84" s="162"/>
      <c r="F84" s="163"/>
      <c r="G84" s="163"/>
      <c r="H84" s="163"/>
    </row>
  </sheetData>
  <sheetProtection sheet="1" objects="1" scenarios="1"/>
  <mergeCells count="9">
    <mergeCell ref="A1:C1"/>
    <mergeCell ref="A42:K42"/>
    <mergeCell ref="A55:K55"/>
    <mergeCell ref="A10:K10"/>
    <mergeCell ref="A11:K11"/>
    <mergeCell ref="A12:K12"/>
    <mergeCell ref="A13:K13"/>
    <mergeCell ref="D14:D17"/>
    <mergeCell ref="A27:K27"/>
  </mergeCells>
  <printOptions horizontalCentered="1"/>
  <pageMargins left="0.5" right="0.5" top="0.5" bottom="0.5" header="0" footer="0"/>
  <pageSetup fitToHeight="1" fitToWidth="1" horizontalDpi="600" verticalDpi="600" orientation="portrait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7109375" style="0" customWidth="1"/>
    <col min="4" max="4" width="14.7109375" style="0" customWidth="1"/>
    <col min="5" max="5" width="10.421875" style="0" customWidth="1"/>
    <col min="6" max="6" width="11.57421875" style="0" customWidth="1"/>
    <col min="7" max="7" width="13.140625" style="0" customWidth="1"/>
    <col min="8" max="8" width="11.8515625" style="0" customWidth="1"/>
    <col min="9" max="9" width="9.8515625" style="0" customWidth="1"/>
    <col min="10" max="10" width="9.57421875" style="0" customWidth="1"/>
    <col min="11" max="13" width="10.28125" style="0" customWidth="1"/>
    <col min="14" max="14" width="10.421875" style="0" customWidth="1"/>
    <col min="15" max="17" width="12.7109375" style="0" customWidth="1"/>
  </cols>
  <sheetData>
    <row r="1" spans="1:20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1"/>
      <c r="Q1" s="21"/>
      <c r="R1" s="8"/>
      <c r="S1" s="8"/>
      <c r="T1" s="8"/>
    </row>
    <row r="2" spans="1:20" ht="12.75">
      <c r="A2" s="1023" t="s">
        <v>861</v>
      </c>
      <c r="B2" s="1024"/>
      <c r="C2" s="102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1"/>
      <c r="Q2" s="21"/>
      <c r="R2" s="8"/>
      <c r="S2" s="8"/>
      <c r="T2" s="8"/>
    </row>
    <row r="3" spans="1:20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1"/>
      <c r="Q3" s="21"/>
      <c r="R3" s="8"/>
      <c r="S3" s="8"/>
      <c r="T3" s="8"/>
    </row>
    <row r="4" spans="1:20" ht="15.75">
      <c r="A4" s="706" t="s">
        <v>773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22"/>
      <c r="N4" s="22"/>
      <c r="O4" s="22"/>
      <c r="P4" s="21"/>
      <c r="Q4" s="21"/>
      <c r="R4" s="8"/>
      <c r="S4" s="8"/>
      <c r="T4" s="8"/>
    </row>
    <row r="5" spans="1:20" ht="12.75">
      <c r="A5" s="344"/>
      <c r="B5" s="707"/>
      <c r="C5" s="708"/>
      <c r="D5" s="344"/>
      <c r="E5" s="255"/>
      <c r="F5" s="70"/>
      <c r="G5" s="344"/>
      <c r="H5" s="255"/>
      <c r="I5" s="70"/>
      <c r="J5" s="344"/>
      <c r="K5" s="109"/>
      <c r="L5" s="705"/>
      <c r="M5" s="22"/>
      <c r="N5" s="22"/>
      <c r="O5" s="22"/>
      <c r="P5" s="21"/>
      <c r="Q5" s="21"/>
      <c r="R5" s="8"/>
      <c r="S5" s="8"/>
      <c r="T5" s="8"/>
    </row>
    <row r="6" spans="1:20" ht="12.75">
      <c r="A6" s="66" t="s">
        <v>114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22"/>
      <c r="M6" s="22"/>
      <c r="N6" s="22"/>
      <c r="O6" s="22"/>
      <c r="P6" s="21"/>
      <c r="Q6" s="21"/>
      <c r="R6" s="8"/>
      <c r="S6" s="8"/>
      <c r="T6" s="8"/>
    </row>
    <row r="7" spans="1:20" ht="4.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705"/>
      <c r="Q7" s="705"/>
      <c r="R7" s="8"/>
      <c r="S7" s="8"/>
      <c r="T7" s="8"/>
    </row>
    <row r="8" spans="1:20" ht="24.75" customHeight="1">
      <c r="A8" s="494" t="s">
        <v>773</v>
      </c>
      <c r="B8" s="588"/>
      <c r="C8" s="588"/>
      <c r="D8" s="588"/>
      <c r="E8" s="588"/>
      <c r="F8" s="588"/>
      <c r="G8" s="588"/>
      <c r="H8" s="493"/>
      <c r="I8" s="493"/>
      <c r="J8" s="588"/>
      <c r="K8" s="588"/>
      <c r="L8" s="709"/>
      <c r="M8" s="709"/>
      <c r="N8" s="7" t="s">
        <v>1310</v>
      </c>
      <c r="O8" s="131"/>
      <c r="P8" s="39"/>
      <c r="Q8" s="39"/>
      <c r="R8" s="8"/>
      <c r="S8" s="8"/>
      <c r="T8" s="8"/>
    </row>
    <row r="9" spans="1:20" ht="13.5" customHeight="1">
      <c r="A9" s="1025" t="s">
        <v>84</v>
      </c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6"/>
      <c r="Q9" s="6"/>
      <c r="R9" s="6"/>
      <c r="S9" s="8"/>
      <c r="T9" s="8"/>
    </row>
    <row r="10" spans="1:20" ht="13.5" customHeight="1">
      <c r="A10" s="1027" t="s">
        <v>101</v>
      </c>
      <c r="B10" s="1026"/>
      <c r="C10" s="1026"/>
      <c r="D10" s="1026"/>
      <c r="E10" s="1026"/>
      <c r="F10" s="1026"/>
      <c r="G10" s="1026"/>
      <c r="H10" s="1026"/>
      <c r="I10" s="1026"/>
      <c r="J10" s="1026"/>
      <c r="K10" s="1026"/>
      <c r="L10" s="1026"/>
      <c r="M10" s="1026"/>
      <c r="N10" s="1026"/>
      <c r="O10" s="1026"/>
      <c r="P10" s="6"/>
      <c r="Q10" s="6"/>
      <c r="R10" s="6"/>
      <c r="S10" s="8"/>
      <c r="T10" s="8"/>
    </row>
    <row r="11" spans="1:20" ht="13.5" customHeight="1">
      <c r="A11" s="1027" t="s">
        <v>102</v>
      </c>
      <c r="B11" s="1026"/>
      <c r="C11" s="1026"/>
      <c r="D11" s="1026"/>
      <c r="E11" s="1026"/>
      <c r="F11" s="1026"/>
      <c r="G11" s="1026"/>
      <c r="H11" s="1026"/>
      <c r="I11" s="1026"/>
      <c r="J11" s="1026"/>
      <c r="K11" s="1026"/>
      <c r="L11" s="1026"/>
      <c r="M11" s="1026"/>
      <c r="N11" s="1026"/>
      <c r="O11" s="1026"/>
      <c r="P11" s="6"/>
      <c r="Q11" s="6"/>
      <c r="R11" s="6"/>
      <c r="S11" s="8"/>
      <c r="T11" s="8"/>
    </row>
    <row r="12" spans="1:20" ht="13.5" customHeight="1">
      <c r="A12" s="1030" t="s">
        <v>1264</v>
      </c>
      <c r="B12" s="1035"/>
      <c r="C12" s="1035"/>
      <c r="D12" s="1035"/>
      <c r="E12" s="1035"/>
      <c r="F12" s="1035"/>
      <c r="G12" s="1035"/>
      <c r="H12" s="1035"/>
      <c r="I12" s="1035"/>
      <c r="J12" s="1035"/>
      <c r="K12" s="1035"/>
      <c r="L12" s="1035"/>
      <c r="M12" s="1035"/>
      <c r="N12" s="1035"/>
      <c r="O12" s="1035"/>
      <c r="P12" s="6"/>
      <c r="Q12" s="6"/>
      <c r="R12" s="6"/>
      <c r="S12" s="8"/>
      <c r="T12" s="8"/>
    </row>
    <row r="13" spans="1:18" ht="13.5" customHeight="1">
      <c r="A13" s="493"/>
      <c r="B13" s="493"/>
      <c r="C13" s="493"/>
      <c r="D13" s="496" t="s">
        <v>1003</v>
      </c>
      <c r="E13" s="497">
        <f>IF(Input!$B$7="","",Input!$B$7)</f>
      </c>
      <c r="F13" s="498"/>
      <c r="G13" s="1020" t="s">
        <v>107</v>
      </c>
      <c r="H13" s="500">
        <v>1</v>
      </c>
      <c r="I13" s="728"/>
      <c r="J13" s="500">
        <v>5</v>
      </c>
      <c r="K13" s="728"/>
      <c r="L13" s="502" t="s">
        <v>560</v>
      </c>
      <c r="M13" s="607"/>
      <c r="N13" s="503"/>
      <c r="O13" s="322"/>
      <c r="P13" s="322"/>
      <c r="Q13" s="322"/>
      <c r="R13" s="8"/>
    </row>
    <row r="14" spans="1:18" ht="13.5" customHeight="1">
      <c r="A14" s="493"/>
      <c r="B14" s="493"/>
      <c r="C14" s="493"/>
      <c r="D14" s="496" t="s">
        <v>103</v>
      </c>
      <c r="E14" s="497">
        <f>IF(Input!$B$8="","",Input!$B$8)</f>
      </c>
      <c r="F14" s="498"/>
      <c r="G14" s="1021"/>
      <c r="H14" s="500">
        <v>2</v>
      </c>
      <c r="I14" s="728"/>
      <c r="J14" s="500">
        <v>6</v>
      </c>
      <c r="K14" s="728"/>
      <c r="L14" s="505" t="s">
        <v>50</v>
      </c>
      <c r="M14" s="506">
        <f ca="1">TODAY()</f>
        <v>40878</v>
      </c>
      <c r="N14" s="503"/>
      <c r="O14" s="322"/>
      <c r="P14" s="322"/>
      <c r="Q14" s="322"/>
      <c r="R14" s="8"/>
    </row>
    <row r="15" spans="1:18" ht="13.5" customHeight="1">
      <c r="A15" s="493"/>
      <c r="B15" s="493"/>
      <c r="C15" s="493"/>
      <c r="D15" s="496" t="s">
        <v>1041</v>
      </c>
      <c r="E15" s="497">
        <f>IF(Input!$B$10="","",Input!$B$10)</f>
      </c>
      <c r="F15" s="498"/>
      <c r="G15" s="1021"/>
      <c r="H15" s="500">
        <v>3</v>
      </c>
      <c r="I15" s="728"/>
      <c r="J15" s="500">
        <v>7</v>
      </c>
      <c r="K15" s="728"/>
      <c r="L15" s="496" t="s">
        <v>1034</v>
      </c>
      <c r="M15" s="507">
        <f>IF(Input!$B$30="","",Input!$B$30)</f>
      </c>
      <c r="N15" s="508"/>
      <c r="O15" s="322"/>
      <c r="P15" s="322"/>
      <c r="Q15" s="322"/>
      <c r="R15" s="8"/>
    </row>
    <row r="16" spans="1:18" ht="13.5" customHeight="1">
      <c r="A16" s="493"/>
      <c r="B16" s="493"/>
      <c r="C16" s="493"/>
      <c r="D16" s="496" t="s">
        <v>1004</v>
      </c>
      <c r="E16" s="497">
        <f>IF(Input!$E$5="","",Input!$E$5)</f>
      </c>
      <c r="F16" s="498"/>
      <c r="G16" s="1022"/>
      <c r="H16" s="500">
        <v>4</v>
      </c>
      <c r="I16" s="728"/>
      <c r="J16" s="500">
        <v>8</v>
      </c>
      <c r="K16" s="728"/>
      <c r="L16" s="496" t="s">
        <v>1035</v>
      </c>
      <c r="M16" s="507">
        <f>IF(Input!$B$31="","",Input!$B$31)</f>
      </c>
      <c r="N16" s="508"/>
      <c r="O16" s="322"/>
      <c r="P16" s="322"/>
      <c r="Q16" s="322"/>
      <c r="R16" s="8"/>
    </row>
    <row r="17" spans="1:15" ht="13.5" customHeight="1">
      <c r="A17" s="493"/>
      <c r="B17" s="493"/>
      <c r="C17" s="493"/>
      <c r="D17" s="510" t="s">
        <v>49</v>
      </c>
      <c r="E17" s="497">
        <f>IF(Input!$E$6="","",Input!$E$6)</f>
      </c>
      <c r="F17" s="498"/>
      <c r="G17" s="496" t="s">
        <v>1017</v>
      </c>
      <c r="H17" s="511">
        <f>IF(Input!$B$68="","",Input!$B$68)</f>
      </c>
      <c r="I17" s="512"/>
      <c r="J17" s="512"/>
      <c r="K17" s="512"/>
      <c r="L17" s="496" t="s">
        <v>1030</v>
      </c>
      <c r="M17" s="507">
        <f>IF(Input!$B$32="","",Input!$B$32)</f>
      </c>
      <c r="N17" s="508"/>
      <c r="O17" s="493"/>
    </row>
    <row r="18" spans="1:15" ht="13.5" customHeight="1">
      <c r="A18" s="493"/>
      <c r="B18" s="493"/>
      <c r="C18" s="493"/>
      <c r="D18" s="510" t="s">
        <v>106</v>
      </c>
      <c r="E18" s="497">
        <f>IF(Input!$E$7="","",Input!$E$7)</f>
      </c>
      <c r="F18" s="498"/>
      <c r="G18" s="496" t="s">
        <v>1018</v>
      </c>
      <c r="H18" s="511">
        <f>IF(Input!$B$69="","",Input!$B$69)</f>
      </c>
      <c r="I18" s="512"/>
      <c r="J18" s="512"/>
      <c r="K18" s="512"/>
      <c r="L18" s="496" t="s">
        <v>1036</v>
      </c>
      <c r="M18" s="507">
        <f>IF(Input!$B$33="","",Input!$B$33)</f>
      </c>
      <c r="N18" s="508"/>
      <c r="O18" s="493"/>
    </row>
    <row r="19" spans="1:15" ht="13.5" customHeight="1">
      <c r="A19" s="493"/>
      <c r="B19" s="493"/>
      <c r="C19" s="493"/>
      <c r="D19" s="510" t="s">
        <v>48</v>
      </c>
      <c r="E19" s="497">
        <f>IF(Input!$E$8="","",Input!$E$8)</f>
      </c>
      <c r="F19" s="498"/>
      <c r="G19" s="496" t="s">
        <v>1019</v>
      </c>
      <c r="H19" s="511">
        <f>IF(Input!$B$70="","",Input!$B$70)</f>
      </c>
      <c r="I19" s="512"/>
      <c r="J19" s="512"/>
      <c r="K19" s="512"/>
      <c r="L19" s="496" t="s">
        <v>1033</v>
      </c>
      <c r="M19" s="507">
        <f>IF(Input!$B$34="","",Input!$B$34)</f>
      </c>
      <c r="N19" s="508"/>
      <c r="O19" s="493"/>
    </row>
    <row r="20" spans="1:15" ht="13.5" customHeight="1">
      <c r="A20" s="493"/>
      <c r="B20" s="493"/>
      <c r="C20" s="493"/>
      <c r="D20" s="496" t="s">
        <v>1039</v>
      </c>
      <c r="E20" s="497">
        <f>IF(Input!$B$37="","",Input!$B$37)</f>
      </c>
      <c r="F20" s="498"/>
      <c r="G20" s="496" t="s">
        <v>1020</v>
      </c>
      <c r="H20" s="511">
        <f>IF(Input!$B$71="","",Input!$B$71)</f>
      </c>
      <c r="I20" s="512"/>
      <c r="J20" s="512"/>
      <c r="K20" s="512"/>
      <c r="L20" s="496" t="s">
        <v>1037</v>
      </c>
      <c r="M20" s="507">
        <f>IF(Input!$B$35="","",Input!$B$35)</f>
      </c>
      <c r="N20" s="508"/>
      <c r="O20" s="493"/>
    </row>
    <row r="21" spans="1:15" ht="13.5" customHeight="1">
      <c r="A21" s="493"/>
      <c r="B21" s="493"/>
      <c r="C21" s="493"/>
      <c r="D21" s="496" t="s">
        <v>98</v>
      </c>
      <c r="E21" s="573"/>
      <c r="F21" s="574"/>
      <c r="G21" s="496" t="s">
        <v>1021</v>
      </c>
      <c r="H21" s="511">
        <f>IF(Input!$B$72="","",Input!$B$72)</f>
      </c>
      <c r="I21" s="512"/>
      <c r="J21" s="512"/>
      <c r="K21" s="512"/>
      <c r="L21" s="496" t="s">
        <v>1038</v>
      </c>
      <c r="M21" s="507">
        <f>IF(Input!$B$36="","",Input!$B$36)</f>
      </c>
      <c r="N21" s="508"/>
      <c r="O21" s="493"/>
    </row>
    <row r="22" spans="1:15" ht="13.5" customHeight="1">
      <c r="A22" s="493"/>
      <c r="B22" s="493"/>
      <c r="C22" s="493"/>
      <c r="D22" s="496" t="s">
        <v>104</v>
      </c>
      <c r="E22" s="497">
        <f>IF(Input!$B$9="","",Input!$B$9)</f>
      </c>
      <c r="F22" s="498"/>
      <c r="G22" s="496" t="s">
        <v>1022</v>
      </c>
      <c r="H22" s="511">
        <f>IF(Input!$B$73="","",Input!$B$73)</f>
      </c>
      <c r="I22" s="512"/>
      <c r="J22" s="512"/>
      <c r="K22" s="512"/>
      <c r="L22" s="513"/>
      <c r="M22" s="514"/>
      <c r="N22" s="515"/>
      <c r="O22" s="493"/>
    </row>
    <row r="23" spans="1:15" ht="13.5" customHeight="1">
      <c r="A23" s="493"/>
      <c r="B23" s="493"/>
      <c r="C23" s="493"/>
      <c r="D23" s="496" t="s">
        <v>105</v>
      </c>
      <c r="E23" s="516">
        <f>'Setup Bm Input'!$B$34</f>
      </c>
      <c r="F23" s="498" t="str">
        <f>IF(Input!$B$6="","",IF(Input!$B$6="E","in.",IF(Input!$B$6="M","mm")))</f>
        <v>in.</v>
      </c>
      <c r="G23" s="496" t="s">
        <v>1024</v>
      </c>
      <c r="H23" s="511">
        <f>IF('Setup Bm Input'!$A$46="","",'Setup Bm Input'!$A$46)</f>
      </c>
      <c r="I23" s="512"/>
      <c r="J23" s="512"/>
      <c r="K23" s="512"/>
      <c r="L23" s="517"/>
      <c r="M23" s="518"/>
      <c r="N23" s="515"/>
      <c r="O23" s="493"/>
    </row>
    <row r="24" spans="1:20" ht="13.5" customHeight="1">
      <c r="A24" s="493"/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S24" s="8"/>
      <c r="T24" s="8"/>
    </row>
    <row r="25" spans="1:20" ht="19.5" customHeight="1">
      <c r="A25" s="81"/>
      <c r="B25" s="83"/>
      <c r="C25" s="78" t="s">
        <v>715</v>
      </c>
      <c r="D25" s="341">
        <f>IF(B5="","",B5)</f>
      </c>
      <c r="E25" s="710"/>
      <c r="F25" s="78" t="s">
        <v>716</v>
      </c>
      <c r="G25" s="343"/>
      <c r="H25" s="81"/>
      <c r="I25" s="78" t="s">
        <v>717</v>
      </c>
      <c r="J25" s="342">
        <f>IF(H5="","",H5)</f>
      </c>
      <c r="K25" s="81"/>
      <c r="L25" s="81"/>
      <c r="M25" s="81"/>
      <c r="N25" s="81"/>
      <c r="O25" s="81"/>
      <c r="P25" s="81"/>
      <c r="Q25" s="81"/>
      <c r="R25" s="8"/>
      <c r="S25" s="8"/>
      <c r="T25" s="8"/>
    </row>
    <row r="26" spans="1:20" ht="19.5" customHeight="1">
      <c r="A26" s="81"/>
      <c r="B26" s="83"/>
      <c r="C26" s="78"/>
      <c r="D26" s="82" t="s">
        <v>594</v>
      </c>
      <c r="E26" s="710"/>
      <c r="F26" s="493"/>
      <c r="G26" s="493"/>
      <c r="H26" s="81"/>
      <c r="I26" s="81"/>
      <c r="J26" s="81"/>
      <c r="K26" s="81"/>
      <c r="L26" s="81"/>
      <c r="M26" s="81"/>
      <c r="N26" s="81"/>
      <c r="O26" s="322"/>
      <c r="P26" s="322"/>
      <c r="Q26" s="322"/>
      <c r="R26" s="8"/>
      <c r="S26" s="8"/>
      <c r="T26" s="8"/>
    </row>
    <row r="27" spans="1:20" ht="19.5" customHeight="1">
      <c r="A27" s="81"/>
      <c r="B27" s="83"/>
      <c r="C27" s="78" t="s">
        <v>1005</v>
      </c>
      <c r="D27" s="85">
        <f>+IF('Setup Bm Input'!$B$59="","",'Setup Bm Input'!$B$59)</f>
      </c>
      <c r="E27" s="86"/>
      <c r="F27" s="340"/>
      <c r="G27" s="711" t="s">
        <v>779</v>
      </c>
      <c r="H27" s="712" t="str">
        <f>+IF('Setup Bm Input'!$B$48="","No Input",'Setup Bm Input'!$B$48)</f>
        <v>No Input</v>
      </c>
      <c r="I27" s="78"/>
      <c r="J27" s="324"/>
      <c r="K27" s="322"/>
      <c r="L27" s="81"/>
      <c r="M27" s="81"/>
      <c r="N27" s="81"/>
      <c r="O27" s="323"/>
      <c r="P27" s="322"/>
      <c r="Q27" s="322"/>
      <c r="R27" s="8"/>
      <c r="S27" s="8"/>
      <c r="T27" s="8"/>
    </row>
    <row r="28" spans="1:20" ht="19.5" customHeight="1">
      <c r="A28" s="81"/>
      <c r="B28" s="83"/>
      <c r="C28" s="81"/>
      <c r="D28" s="81"/>
      <c r="E28" s="81"/>
      <c r="F28" s="81"/>
      <c r="G28" s="81"/>
      <c r="H28" s="81"/>
      <c r="I28" s="81"/>
      <c r="J28" s="337" t="s">
        <v>56</v>
      </c>
      <c r="K28" s="339" t="s">
        <v>56</v>
      </c>
      <c r="L28" s="81"/>
      <c r="M28" s="81"/>
      <c r="N28" s="81"/>
      <c r="O28" s="323"/>
      <c r="P28" s="322"/>
      <c r="Q28" s="322"/>
      <c r="R28" s="8"/>
      <c r="S28" s="8"/>
      <c r="T28" s="8"/>
    </row>
    <row r="29" spans="1:20" ht="19.5" customHeight="1">
      <c r="A29" s="81"/>
      <c r="B29" s="493"/>
      <c r="C29" s="493"/>
      <c r="D29" s="493"/>
      <c r="E29" s="493"/>
      <c r="F29" s="493"/>
      <c r="G29" s="493"/>
      <c r="H29" s="384"/>
      <c r="I29" s="384"/>
      <c r="J29" s="338" t="str">
        <f>IF('Setup Bm Input'!$F$51="","No Input",IF('Setup Bm Input'!$F$51="Net","Net El.","Gross El."))</f>
        <v>No Input</v>
      </c>
      <c r="K29" s="336" t="str">
        <f>IF('Setup Bm Input'!$F$51="","No Input",IF('Setup Bm Input'!$F$51="Net","Net El.","Gross El."))</f>
        <v>No Input</v>
      </c>
      <c r="L29" s="563"/>
      <c r="M29" s="530"/>
      <c r="N29" s="530"/>
      <c r="O29" s="323"/>
      <c r="P29" s="322"/>
      <c r="Q29" s="322"/>
      <c r="R29" s="8"/>
      <c r="S29" s="8"/>
      <c r="T29" s="8"/>
    </row>
    <row r="30" spans="1:20" ht="19.5" customHeight="1">
      <c r="A30" s="78"/>
      <c r="B30" s="493"/>
      <c r="C30" s="493"/>
      <c r="D30" s="493"/>
      <c r="E30" s="493"/>
      <c r="F30" s="493"/>
      <c r="G30" s="493"/>
      <c r="H30" s="699" t="s">
        <v>1197</v>
      </c>
      <c r="I30" s="599" t="s">
        <v>56</v>
      </c>
      <c r="J30" s="713" t="s">
        <v>748</v>
      </c>
      <c r="K30" s="714" t="s">
        <v>747</v>
      </c>
      <c r="L30" s="700"/>
      <c r="M30" s="563"/>
      <c r="N30" s="255"/>
      <c r="O30" s="323"/>
      <c r="P30" s="322"/>
      <c r="Q30" s="322"/>
      <c r="R30" s="8"/>
      <c r="S30" s="8"/>
      <c r="T30" s="8"/>
    </row>
    <row r="31" spans="1:20" ht="19.5" customHeight="1">
      <c r="A31" s="78"/>
      <c r="B31" s="493"/>
      <c r="C31" s="493"/>
      <c r="D31" s="560" t="s">
        <v>113</v>
      </c>
      <c r="E31" s="560" t="s">
        <v>115</v>
      </c>
      <c r="F31" s="667" t="s">
        <v>754</v>
      </c>
      <c r="G31" s="667" t="s">
        <v>753</v>
      </c>
      <c r="H31" s="637"/>
      <c r="I31" s="336" t="str">
        <f>IF('Setup Bm Input'!$F$51="","No Input",IF('Setup Bm Input'!$F$51="Net","Net El.","Gross El."))</f>
        <v>No Input</v>
      </c>
      <c r="J31" s="715" t="s">
        <v>556</v>
      </c>
      <c r="K31" s="638" t="s">
        <v>557</v>
      </c>
      <c r="L31" s="549"/>
      <c r="M31" s="549"/>
      <c r="N31" s="549"/>
      <c r="O31" s="323"/>
      <c r="P31" s="322"/>
      <c r="Q31" s="322"/>
      <c r="R31" s="8"/>
      <c r="S31" s="8"/>
      <c r="T31" s="8"/>
    </row>
    <row r="32" spans="1:20" ht="19.5" customHeight="1">
      <c r="A32" s="78"/>
      <c r="B32" s="493"/>
      <c r="C32" s="493"/>
      <c r="D32" s="560" t="s">
        <v>90</v>
      </c>
      <c r="E32" s="511">
        <f>+IF('Setup Bm Input'!B63="","",'Setup Bm Input'!B63)</f>
      </c>
      <c r="F32" s="511">
        <f>+IF('Setup Bm Input'!C63="","",'Setup Bm Input'!C63)</f>
      </c>
      <c r="G32" s="511">
        <f>+IF('Setup Bm Input'!E63="","",'Setup Bm Input'!E63/1000000)</f>
      </c>
      <c r="H32" s="716">
        <f>+IF('Singlet F'!$F71="","",'Singlet F'!$F71)</f>
      </c>
      <c r="I32" s="368" t="str">
        <f>IF('Setup Bm Input'!$F$51="","Error",IF('Singlet E'!$G83="","",IF('Singlet E'!$B83="","",IF('Setup Bm Input'!$F$51="Net",'Singlet E'!$G83,'Singlet E'!$B83))))</f>
        <v>Error</v>
      </c>
      <c r="J32" s="368" t="str">
        <f>IF('Setup Bm Input'!$F$51="","Error",IF('Singlet E'!$H83="","",IF('Singlet E'!$C83="","",IF('Setup Bm Input'!$F$51="Net",'Singlet E'!$H83,'Singlet E'!$C83))))</f>
        <v>Error</v>
      </c>
      <c r="K32" s="368" t="str">
        <f>IF('Setup Bm Input'!$F$51="","Error",IF('Singlet E'!$D83="","",IF('Singlet E'!$I83="","",IF('Setup Bm Input'!$F$51="Net",'Singlet E'!$I83,'Singlet E'!$D83))))</f>
        <v>Error</v>
      </c>
      <c r="L32" s="654"/>
      <c r="M32" s="654"/>
      <c r="N32" s="654"/>
      <c r="O32" s="323"/>
      <c r="P32" s="322"/>
      <c r="Q32" s="322"/>
      <c r="R32" s="8"/>
      <c r="S32" s="8"/>
      <c r="T32" s="8"/>
    </row>
    <row r="33" spans="1:20" ht="19.5" customHeight="1">
      <c r="A33" s="78"/>
      <c r="B33" s="493"/>
      <c r="C33" s="493"/>
      <c r="D33" s="560" t="s">
        <v>91</v>
      </c>
      <c r="E33" s="511">
        <f>+IF('Setup Bm Input'!B64="","",'Setup Bm Input'!B64)</f>
      </c>
      <c r="F33" s="511">
        <f>+IF('Setup Bm Input'!C64="","",'Setup Bm Input'!C64)</f>
      </c>
      <c r="G33" s="511">
        <f>+IF('Setup Bm Input'!E64="","",'Setup Bm Input'!E64/1000000)</f>
      </c>
      <c r="H33" s="716">
        <f>+IF('Singlet F'!$F72="","",'Singlet F'!$F72)</f>
      </c>
      <c r="I33" s="368" t="str">
        <f>IF('Setup Bm Input'!$F$51="","Error",IF('Singlet E'!$G84="","",IF('Singlet E'!$B84="","",IF('Setup Bm Input'!$F$51="Net",'Singlet E'!$G84,'Singlet E'!$B84))))</f>
        <v>Error</v>
      </c>
      <c r="J33" s="368" t="str">
        <f>IF('Setup Bm Input'!$F$51="","Error",IF('Singlet E'!$H84="","",IF('Singlet E'!$C84="","",IF('Setup Bm Input'!$F$51="Net",'Singlet E'!$H84,'Singlet E'!$C84))))</f>
        <v>Error</v>
      </c>
      <c r="K33" s="368" t="str">
        <f>IF('Setup Bm Input'!$F$51="","Error",IF('Singlet E'!$D84="","",IF('Singlet E'!$I84="","",IF('Setup Bm Input'!$F$51="Net",'Singlet E'!$I84,'Singlet E'!$D84))))</f>
        <v>Error</v>
      </c>
      <c r="L33" s="654"/>
      <c r="M33" s="654"/>
      <c r="N33" s="654"/>
      <c r="O33" s="323"/>
      <c r="P33" s="322"/>
      <c r="Q33" s="322"/>
      <c r="R33" s="8"/>
      <c r="S33" s="8"/>
      <c r="T33" s="8"/>
    </row>
    <row r="34" spans="1:20" ht="19.5" customHeight="1">
      <c r="A34" s="81"/>
      <c r="B34" s="493"/>
      <c r="C34" s="493"/>
      <c r="D34" s="560" t="s">
        <v>92</v>
      </c>
      <c r="E34" s="511">
        <f>+IF('Setup Bm Input'!B65="","",'Setup Bm Input'!B65)</f>
      </c>
      <c r="F34" s="511">
        <f>+IF('Setup Bm Input'!C65="","",'Setup Bm Input'!C65)</f>
      </c>
      <c r="G34" s="511">
        <f>+IF('Setup Bm Input'!E65="","",'Setup Bm Input'!E65/1000000)</f>
      </c>
      <c r="H34" s="716">
        <f>+IF('Singlet F'!$F73="","",'Singlet F'!$F73)</f>
      </c>
      <c r="I34" s="368" t="str">
        <f>IF('Setup Bm Input'!$F$51="","Error",IF('Singlet E'!$G85="","",IF('Singlet E'!$B85="","",IF('Setup Bm Input'!$F$51="Net",'Singlet E'!$G85,'Singlet E'!$B85))))</f>
        <v>Error</v>
      </c>
      <c r="J34" s="368" t="str">
        <f>IF('Setup Bm Input'!$F$51="","Error",IF('Singlet E'!$H85="","",IF('Singlet E'!$C85="","",IF('Setup Bm Input'!$F$51="Net",'Singlet E'!$H85,'Singlet E'!$C85))))</f>
        <v>Error</v>
      </c>
      <c r="K34" s="368" t="str">
        <f>IF('Setup Bm Input'!$F$51="","Error",IF('Singlet E'!$D85="","",IF('Singlet E'!$I85="","",IF('Setup Bm Input'!$F$51="Net",'Singlet E'!$I85,'Singlet E'!$D85))))</f>
        <v>Error</v>
      </c>
      <c r="L34" s="654"/>
      <c r="M34" s="654"/>
      <c r="N34" s="654"/>
      <c r="O34" s="83"/>
      <c r="P34" s="83"/>
      <c r="Q34" s="83"/>
      <c r="R34" s="8"/>
      <c r="S34" s="8"/>
      <c r="T34" s="8"/>
    </row>
    <row r="35" spans="1:20" ht="19.5" customHeight="1">
      <c r="A35" s="493"/>
      <c r="B35" s="493"/>
      <c r="C35" s="493"/>
      <c r="D35" s="560" t="s">
        <v>93</v>
      </c>
      <c r="E35" s="511">
        <f>+IF('Setup Bm Input'!B66="","",'Setup Bm Input'!B66)</f>
      </c>
      <c r="F35" s="511">
        <f>+IF('Setup Bm Input'!C66="","",'Setup Bm Input'!C66)</f>
      </c>
      <c r="G35" s="511">
        <f>+IF('Setup Bm Input'!E66="","",'Setup Bm Input'!E66/1000000)</f>
      </c>
      <c r="H35" s="716">
        <f>+IF('Singlet F'!$F74="","",'Singlet F'!$F74)</f>
      </c>
      <c r="I35" s="368" t="str">
        <f>IF('Setup Bm Input'!$F$51="","Error",IF('Singlet E'!$G86="","",IF('Singlet E'!$B86="","",IF('Setup Bm Input'!$F$51="Net",'Singlet E'!$G86,'Singlet E'!$B86))))</f>
        <v>Error</v>
      </c>
      <c r="J35" s="368" t="str">
        <f>IF('Setup Bm Input'!$F$51="","Error",IF('Singlet E'!$H86="","",IF('Singlet E'!$C86="","",IF('Setup Bm Input'!$F$51="Net",'Singlet E'!$H86,'Singlet E'!$C86))))</f>
        <v>Error</v>
      </c>
      <c r="K35" s="368" t="str">
        <f>IF('Setup Bm Input'!$F$51="","Error",IF('Singlet E'!$D86="","",IF('Singlet E'!$I86="","",IF('Setup Bm Input'!$F$51="Net",'Singlet E'!$I86,'Singlet E'!$D86))))</f>
        <v>Error</v>
      </c>
      <c r="L35" s="654"/>
      <c r="M35" s="654"/>
      <c r="N35" s="654"/>
      <c r="O35" s="493"/>
      <c r="S35" s="8"/>
      <c r="T35" s="8"/>
    </row>
    <row r="36" spans="1:20" ht="19.5" customHeight="1">
      <c r="A36" s="493"/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S36" s="8"/>
      <c r="T36" s="8"/>
    </row>
    <row r="37" spans="1:20" ht="19.5" customHeight="1">
      <c r="A37" s="493"/>
      <c r="B37" s="493"/>
      <c r="C37" s="493"/>
      <c r="D37" s="717" t="s">
        <v>755</v>
      </c>
      <c r="E37" s="493"/>
      <c r="F37" s="493"/>
      <c r="G37" s="493"/>
      <c r="H37" s="493"/>
      <c r="I37" s="493"/>
      <c r="J37" s="493"/>
      <c r="K37" s="718" t="s">
        <v>755</v>
      </c>
      <c r="L37" s="493"/>
      <c r="M37" s="493"/>
      <c r="N37" s="493"/>
      <c r="O37" s="493"/>
      <c r="S37" s="8"/>
      <c r="T37" s="8"/>
    </row>
    <row r="38" spans="1:20" ht="19.5" customHeight="1" thickBot="1">
      <c r="A38" s="493"/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S38" s="8"/>
      <c r="T38" s="8"/>
    </row>
    <row r="39" spans="1:20" ht="19.5" customHeight="1" thickBot="1">
      <c r="A39" s="81"/>
      <c r="B39" s="332" t="s">
        <v>115</v>
      </c>
      <c r="C39" s="79" t="s">
        <v>595</v>
      </c>
      <c r="D39" s="329"/>
      <c r="E39" s="363" t="s">
        <v>115</v>
      </c>
      <c r="F39" s="79" t="s">
        <v>596</v>
      </c>
      <c r="G39" s="81"/>
      <c r="H39" s="332" t="s">
        <v>115</v>
      </c>
      <c r="I39" s="325" t="s">
        <v>597</v>
      </c>
      <c r="J39" s="331"/>
      <c r="K39" s="332" t="s">
        <v>115</v>
      </c>
      <c r="L39" s="330" t="s">
        <v>598</v>
      </c>
      <c r="M39" s="493"/>
      <c r="N39" s="332" t="s">
        <v>115</v>
      </c>
      <c r="O39" s="79" t="s">
        <v>599</v>
      </c>
      <c r="S39" s="8"/>
      <c r="T39" s="8"/>
    </row>
    <row r="40" spans="1:20" ht="19.5" customHeight="1" thickBot="1">
      <c r="A40" s="81"/>
      <c r="B40" s="333"/>
      <c r="C40" s="79" t="str">
        <f>IF('Setup Bm Input'!$F$51="Net","Net El.","Gross El.")</f>
        <v>Gross El.</v>
      </c>
      <c r="D40" s="329"/>
      <c r="E40" s="364"/>
      <c r="F40" s="79" t="str">
        <f>IF('Setup Bm Input'!$F$51="Net","Net El.","Gross El.")</f>
        <v>Gross El.</v>
      </c>
      <c r="G40" s="81"/>
      <c r="H40" s="333"/>
      <c r="I40" s="79" t="str">
        <f>IF('Setup Bm Input'!$F$51="Net","Net El.","Gross El.")</f>
        <v>Gross El.</v>
      </c>
      <c r="J40" s="331"/>
      <c r="K40" s="333"/>
      <c r="L40" s="79" t="str">
        <f>IF('Setup Bm Input'!$F$51="Net","Net El.","Gross El.")</f>
        <v>Gross El.</v>
      </c>
      <c r="M40" s="493"/>
      <c r="N40" s="333"/>
      <c r="O40" s="79" t="str">
        <f>IF('Setup Bm Input'!$F$51="Net","Net El.","Gross El.")</f>
        <v>Gross El.</v>
      </c>
      <c r="S40" s="8"/>
      <c r="T40" s="8"/>
    </row>
    <row r="41" spans="1:20" ht="19.5" customHeight="1" thickBot="1">
      <c r="A41" s="78">
        <f>IF(B41="","",1)</f>
      </c>
      <c r="B41" s="729" t="s">
        <v>1309</v>
      </c>
      <c r="C41" s="75"/>
      <c r="D41" s="323">
        <f>IF(E41="","",1)</f>
      </c>
      <c r="E41" s="729"/>
      <c r="F41" s="75"/>
      <c r="G41" s="82">
        <f>IF(H41="","",1)</f>
      </c>
      <c r="H41" s="729"/>
      <c r="I41" s="75"/>
      <c r="J41" s="82">
        <f>IF(K41="","",1)</f>
      </c>
      <c r="K41" s="729"/>
      <c r="L41" s="144"/>
      <c r="M41" s="82">
        <f>IF(N41="","",1)</f>
      </c>
      <c r="N41" s="729"/>
      <c r="O41" s="144"/>
      <c r="S41" s="8"/>
      <c r="T41" s="8"/>
    </row>
    <row r="42" spans="1:20" ht="19.5" customHeight="1" thickBot="1">
      <c r="A42" s="78">
        <f>IF(B42="","",A41+1)</f>
      </c>
      <c r="B42" s="729"/>
      <c r="C42" s="75"/>
      <c r="D42" s="323">
        <f aca="true" t="shared" si="0" ref="D42:D58">IF(E42="","",D41+1)</f>
      </c>
      <c r="E42" s="729"/>
      <c r="F42" s="75"/>
      <c r="G42" s="82">
        <f>IF(H42="","",G41+1)</f>
      </c>
      <c r="H42" s="729"/>
      <c r="I42" s="75"/>
      <c r="J42" s="82">
        <f>IF(K42="","",J41+1)</f>
      </c>
      <c r="K42" s="729"/>
      <c r="L42" s="144"/>
      <c r="M42" s="82">
        <f>IF(N42="","",M41+1)</f>
      </c>
      <c r="N42" s="729"/>
      <c r="O42" s="144"/>
      <c r="S42" s="8"/>
      <c r="T42" s="8"/>
    </row>
    <row r="43" spans="1:20" ht="19.5" customHeight="1" thickBot="1">
      <c r="A43" s="78">
        <f aca="true" t="shared" si="1" ref="A43:A62">IF(B43="","",A42+1)</f>
      </c>
      <c r="B43" s="729"/>
      <c r="C43" s="75"/>
      <c r="D43" s="323">
        <f t="shared" si="0"/>
      </c>
      <c r="E43" s="729"/>
      <c r="F43" s="75"/>
      <c r="G43" s="81"/>
      <c r="H43" s="81"/>
      <c r="I43" s="81"/>
      <c r="J43" s="81"/>
      <c r="K43" s="81"/>
      <c r="L43" s="81"/>
      <c r="M43" s="81"/>
      <c r="N43" s="81"/>
      <c r="O43" s="81"/>
      <c r="Q43" s="81"/>
      <c r="S43" s="8"/>
      <c r="T43" s="8"/>
    </row>
    <row r="44" spans="1:20" ht="19.5" customHeight="1" thickBot="1">
      <c r="A44" s="78">
        <f t="shared" si="1"/>
      </c>
      <c r="B44" s="729"/>
      <c r="C44" s="75"/>
      <c r="D44" s="323">
        <f t="shared" si="0"/>
      </c>
      <c r="E44" s="729"/>
      <c r="F44" s="75"/>
      <c r="G44" s="81"/>
      <c r="H44" s="332" t="s">
        <v>115</v>
      </c>
      <c r="I44" s="79" t="s">
        <v>749</v>
      </c>
      <c r="J44" s="329"/>
      <c r="K44" s="332" t="s">
        <v>115</v>
      </c>
      <c r="L44" s="330" t="s">
        <v>750</v>
      </c>
      <c r="M44" s="493"/>
      <c r="N44" s="332" t="s">
        <v>115</v>
      </c>
      <c r="O44" s="79" t="s">
        <v>751</v>
      </c>
      <c r="S44" s="8"/>
      <c r="T44" s="8"/>
    </row>
    <row r="45" spans="1:20" ht="19.5" customHeight="1" thickBot="1">
      <c r="A45" s="78">
        <f t="shared" si="1"/>
      </c>
      <c r="B45" s="729"/>
      <c r="C45" s="75"/>
      <c r="D45" s="323">
        <f t="shared" si="0"/>
      </c>
      <c r="E45" s="729"/>
      <c r="F45" s="75"/>
      <c r="G45" s="81"/>
      <c r="H45" s="333"/>
      <c r="I45" s="79" t="str">
        <f>IF('Setup Bm Input'!$F$51="Net","Net El.","Gross El.")</f>
        <v>Gross El.</v>
      </c>
      <c r="J45" s="329"/>
      <c r="K45" s="333"/>
      <c r="L45" s="79" t="str">
        <f>IF('Setup Bm Input'!$F$51="Net","Net El.","Gross El.")</f>
        <v>Gross El.</v>
      </c>
      <c r="M45" s="493"/>
      <c r="N45" s="333"/>
      <c r="O45" s="79" t="str">
        <f>IF('Setup Bm Input'!$F$51="Net","Net El.","Gross El.")</f>
        <v>Gross El.</v>
      </c>
      <c r="S45" s="8"/>
      <c r="T45" s="8"/>
    </row>
    <row r="46" spans="1:20" ht="19.5" customHeight="1" thickBot="1">
      <c r="A46" s="78">
        <f t="shared" si="1"/>
      </c>
      <c r="B46" s="729"/>
      <c r="C46" s="75"/>
      <c r="D46" s="323">
        <f t="shared" si="0"/>
      </c>
      <c r="E46" s="729"/>
      <c r="F46" s="75"/>
      <c r="G46" s="82">
        <f>IF(H46="","",1)</f>
      </c>
      <c r="H46" s="729"/>
      <c r="I46" s="75"/>
      <c r="J46" s="82">
        <f>IF(K46="","",1)</f>
      </c>
      <c r="K46" s="729"/>
      <c r="L46" s="144"/>
      <c r="M46" s="82">
        <f>IF(N46="","",1)</f>
      </c>
      <c r="N46" s="729"/>
      <c r="O46" s="144"/>
      <c r="S46" s="8"/>
      <c r="T46" s="8"/>
    </row>
    <row r="47" spans="1:20" ht="19.5" customHeight="1" thickBot="1">
      <c r="A47" s="78">
        <f t="shared" si="1"/>
      </c>
      <c r="B47" s="729"/>
      <c r="C47" s="75"/>
      <c r="D47" s="323">
        <f t="shared" si="0"/>
      </c>
      <c r="E47" s="729"/>
      <c r="F47" s="75"/>
      <c r="G47" s="82">
        <f>IF(H47="","",G46+1)</f>
      </c>
      <c r="H47" s="729"/>
      <c r="I47" s="75"/>
      <c r="J47" s="82">
        <f>IF(K47="","",J46+1)</f>
      </c>
      <c r="K47" s="729"/>
      <c r="L47" s="144"/>
      <c r="M47" s="82">
        <f>IF(N47="","",M46+1)</f>
      </c>
      <c r="N47" s="729"/>
      <c r="O47" s="144"/>
      <c r="S47" s="8"/>
      <c r="T47" s="8"/>
    </row>
    <row r="48" spans="1:20" ht="19.5" customHeight="1" thickBot="1">
      <c r="A48" s="78">
        <f t="shared" si="1"/>
      </c>
      <c r="B48" s="729"/>
      <c r="C48" s="75"/>
      <c r="D48" s="323">
        <f t="shared" si="0"/>
      </c>
      <c r="E48" s="729"/>
      <c r="F48" s="75"/>
      <c r="G48" s="81"/>
      <c r="H48" s="493"/>
      <c r="I48" s="493"/>
      <c r="J48" s="493"/>
      <c r="K48" s="493"/>
      <c r="L48" s="493"/>
      <c r="M48" s="493"/>
      <c r="N48" s="493"/>
      <c r="O48" s="493"/>
      <c r="S48" s="8"/>
      <c r="T48" s="8"/>
    </row>
    <row r="49" spans="1:20" ht="19.5" customHeight="1" thickBot="1">
      <c r="A49" s="78">
        <f t="shared" si="1"/>
      </c>
      <c r="B49" s="729"/>
      <c r="C49" s="75"/>
      <c r="D49" s="323">
        <f t="shared" si="0"/>
      </c>
      <c r="E49" s="729"/>
      <c r="F49" s="75"/>
      <c r="G49" s="81"/>
      <c r="H49" s="332" t="s">
        <v>115</v>
      </c>
      <c r="I49" s="79" t="s">
        <v>752</v>
      </c>
      <c r="J49" s="329"/>
      <c r="K49" s="329"/>
      <c r="L49" s="329"/>
      <c r="M49" s="545"/>
      <c r="N49" s="329"/>
      <c r="O49" s="329"/>
      <c r="Q49" s="81"/>
      <c r="S49" s="8"/>
      <c r="T49" s="8"/>
    </row>
    <row r="50" spans="1:20" ht="19.5" customHeight="1" thickBot="1">
      <c r="A50" s="78">
        <f t="shared" si="1"/>
      </c>
      <c r="B50" s="729"/>
      <c r="C50" s="75"/>
      <c r="D50" s="323">
        <f t="shared" si="0"/>
      </c>
      <c r="E50" s="729"/>
      <c r="F50" s="75"/>
      <c r="G50" s="81"/>
      <c r="H50" s="333"/>
      <c r="I50" s="79" t="str">
        <f>IF('Setup Bm Input'!$F$51="Net","Net El.","Gross El.")</f>
        <v>Gross El.</v>
      </c>
      <c r="J50" s="329"/>
      <c r="K50" s="329"/>
      <c r="L50" s="329"/>
      <c r="M50" s="545"/>
      <c r="N50" s="329"/>
      <c r="O50" s="329"/>
      <c r="Q50" s="81"/>
      <c r="S50" s="8"/>
      <c r="T50" s="8"/>
    </row>
    <row r="51" spans="1:20" ht="19.5" customHeight="1" thickBot="1">
      <c r="A51" s="78">
        <f t="shared" si="1"/>
      </c>
      <c r="B51" s="729"/>
      <c r="C51" s="75"/>
      <c r="D51" s="323">
        <f t="shared" si="0"/>
      </c>
      <c r="E51" s="729"/>
      <c r="F51" s="75"/>
      <c r="G51" s="82">
        <f>IF(H51="","",1)</f>
      </c>
      <c r="H51" s="729"/>
      <c r="I51" s="719"/>
      <c r="J51" s="82"/>
      <c r="K51" s="327"/>
      <c r="L51" s="720"/>
      <c r="M51" s="131"/>
      <c r="N51" s="327"/>
      <c r="O51" s="720"/>
      <c r="S51" s="8"/>
      <c r="T51" s="8"/>
    </row>
    <row r="52" spans="1:20" ht="19.5" customHeight="1" thickBot="1">
      <c r="A52" s="78">
        <f t="shared" si="1"/>
      </c>
      <c r="B52" s="729"/>
      <c r="C52" s="75"/>
      <c r="D52" s="323">
        <f t="shared" si="0"/>
      </c>
      <c r="E52" s="729"/>
      <c r="F52" s="75"/>
      <c r="G52" s="82">
        <f>IF(H52="","",G51+1)</f>
      </c>
      <c r="H52" s="729"/>
      <c r="I52" s="719"/>
      <c r="J52" s="82"/>
      <c r="K52" s="327"/>
      <c r="L52" s="720"/>
      <c r="M52" s="131"/>
      <c r="N52" s="327"/>
      <c r="O52" s="720"/>
      <c r="S52" s="8"/>
      <c r="T52" s="8"/>
    </row>
    <row r="53" spans="1:20" ht="19.5" customHeight="1" thickBot="1">
      <c r="A53" s="78">
        <f t="shared" si="1"/>
      </c>
      <c r="B53" s="729"/>
      <c r="C53" s="75"/>
      <c r="D53" s="323">
        <f t="shared" si="0"/>
      </c>
      <c r="E53" s="729"/>
      <c r="F53" s="75"/>
      <c r="G53" s="493"/>
      <c r="H53" s="493"/>
      <c r="I53" s="493"/>
      <c r="J53" s="493"/>
      <c r="K53" s="493"/>
      <c r="L53" s="493"/>
      <c r="M53" s="493"/>
      <c r="N53" s="493"/>
      <c r="O53" s="493"/>
      <c r="S53" s="8"/>
      <c r="T53" s="8"/>
    </row>
    <row r="54" spans="1:20" ht="19.5" customHeight="1" thickBot="1">
      <c r="A54" s="78">
        <f t="shared" si="1"/>
      </c>
      <c r="B54" s="729"/>
      <c r="C54" s="75"/>
      <c r="D54" s="323">
        <f t="shared" si="0"/>
      </c>
      <c r="E54" s="729"/>
      <c r="F54" s="75"/>
      <c r="G54" s="493"/>
      <c r="H54" s="493"/>
      <c r="I54" s="493"/>
      <c r="J54" s="493"/>
      <c r="K54" s="493"/>
      <c r="L54" s="717" t="s">
        <v>757</v>
      </c>
      <c r="M54" s="493"/>
      <c r="N54" s="493"/>
      <c r="O54" s="493"/>
      <c r="S54" s="8"/>
      <c r="T54" s="8"/>
    </row>
    <row r="55" spans="1:15" ht="19.5" customHeight="1" thickBot="1">
      <c r="A55" s="78">
        <f t="shared" si="1"/>
      </c>
      <c r="B55" s="729"/>
      <c r="C55" s="75"/>
      <c r="D55" s="323">
        <f t="shared" si="0"/>
      </c>
      <c r="E55" s="729"/>
      <c r="F55" s="75"/>
      <c r="G55" s="493"/>
      <c r="H55" s="493"/>
      <c r="I55" s="493"/>
      <c r="J55" s="493"/>
      <c r="K55" s="493"/>
      <c r="L55" s="493"/>
      <c r="M55" s="493"/>
      <c r="N55" s="493"/>
      <c r="O55" s="493"/>
    </row>
    <row r="56" spans="1:15" ht="19.5" customHeight="1" thickBot="1">
      <c r="A56" s="78">
        <f t="shared" si="1"/>
      </c>
      <c r="B56" s="729"/>
      <c r="C56" s="75"/>
      <c r="D56" s="323">
        <f t="shared" si="0"/>
      </c>
      <c r="E56" s="729"/>
      <c r="F56" s="75"/>
      <c r="G56" s="493"/>
      <c r="H56" s="493"/>
      <c r="I56" s="81"/>
      <c r="J56" s="332" t="s">
        <v>115</v>
      </c>
      <c r="K56" s="79" t="s">
        <v>595</v>
      </c>
      <c r="L56" s="329"/>
      <c r="M56" s="332" t="s">
        <v>115</v>
      </c>
      <c r="N56" s="330" t="s">
        <v>596</v>
      </c>
      <c r="O56" s="329"/>
    </row>
    <row r="57" spans="1:15" ht="19.5" customHeight="1" thickBot="1">
      <c r="A57" s="78">
        <f t="shared" si="1"/>
      </c>
      <c r="B57" s="729"/>
      <c r="C57" s="75"/>
      <c r="D57" s="323">
        <f t="shared" si="0"/>
      </c>
      <c r="E57" s="729"/>
      <c r="F57" s="75"/>
      <c r="G57" s="493"/>
      <c r="H57" s="493"/>
      <c r="I57" s="81"/>
      <c r="J57" s="333"/>
      <c r="K57" s="79" t="str">
        <f>IF('Setup Bm Input'!$F$51="Net","Net El.","Gross El.")</f>
        <v>Gross El.</v>
      </c>
      <c r="L57" s="329"/>
      <c r="M57" s="333"/>
      <c r="N57" s="79" t="str">
        <f>IF('Setup Bm Input'!$F$51="Net","Net El.","Gross El.")</f>
        <v>Gross El.</v>
      </c>
      <c r="O57" s="329"/>
    </row>
    <row r="58" spans="1:15" ht="19.5" customHeight="1" thickBot="1">
      <c r="A58" s="78">
        <f t="shared" si="1"/>
      </c>
      <c r="B58" s="729"/>
      <c r="C58" s="328"/>
      <c r="D58" s="323">
        <f t="shared" si="0"/>
      </c>
      <c r="E58" s="729"/>
      <c r="F58" s="328"/>
      <c r="G58" s="493"/>
      <c r="H58" s="493"/>
      <c r="I58" s="82">
        <f>IF(J58="","",1)</f>
      </c>
      <c r="J58" s="729"/>
      <c r="K58" s="75"/>
      <c r="L58" s="82">
        <f>IF(M58="","",1)</f>
      </c>
      <c r="M58" s="729"/>
      <c r="N58" s="144"/>
      <c r="O58" s="720"/>
    </row>
    <row r="59" spans="1:15" ht="19.5" customHeight="1" thickBot="1">
      <c r="A59" s="78">
        <f t="shared" si="1"/>
      </c>
      <c r="B59" s="327"/>
      <c r="C59" s="329"/>
      <c r="D59" s="329"/>
      <c r="E59" s="323"/>
      <c r="F59" s="327"/>
      <c r="G59" s="493"/>
      <c r="H59" s="493"/>
      <c r="I59" s="82">
        <f>IF(J59="","",I58+1)</f>
      </c>
      <c r="J59" s="729"/>
      <c r="K59" s="75"/>
      <c r="L59" s="82">
        <f>IF(M59="","",L58+1)</f>
      </c>
      <c r="M59" s="729"/>
      <c r="N59" s="144"/>
      <c r="O59" s="720"/>
    </row>
    <row r="60" spans="1:15" ht="19.5" customHeight="1">
      <c r="A60" s="78"/>
      <c r="B60" s="347" t="s">
        <v>756</v>
      </c>
      <c r="C60" s="329"/>
      <c r="D60" s="329"/>
      <c r="E60" s="323"/>
      <c r="F60" s="327"/>
      <c r="G60" s="329"/>
      <c r="H60" s="81"/>
      <c r="I60" s="493"/>
      <c r="J60" s="493"/>
      <c r="K60" s="493"/>
      <c r="L60" s="493"/>
      <c r="M60" s="493"/>
      <c r="N60" s="493"/>
      <c r="O60" s="493"/>
    </row>
    <row r="61" spans="1:17" ht="19.5" customHeight="1">
      <c r="A61" s="78">
        <f t="shared" si="1"/>
      </c>
      <c r="B61" s="327"/>
      <c r="C61" s="493"/>
      <c r="D61" s="493"/>
      <c r="E61" s="493"/>
      <c r="F61" s="493"/>
      <c r="G61" s="493"/>
      <c r="H61" s="493"/>
      <c r="I61" s="493"/>
      <c r="J61" s="347" t="s">
        <v>758</v>
      </c>
      <c r="K61" s="493"/>
      <c r="L61" s="329"/>
      <c r="M61" s="329"/>
      <c r="N61" s="329"/>
      <c r="O61" s="329"/>
      <c r="P61" s="329"/>
      <c r="Q61" s="329"/>
    </row>
    <row r="62" spans="1:17" ht="19.5" customHeight="1">
      <c r="A62" s="78">
        <f t="shared" si="1"/>
      </c>
      <c r="B62" s="327"/>
      <c r="C62" s="493"/>
      <c r="D62" s="493"/>
      <c r="E62" s="493"/>
      <c r="F62" s="493"/>
      <c r="G62" s="493"/>
      <c r="H62" s="493"/>
      <c r="I62" s="493"/>
      <c r="J62" s="493"/>
      <c r="K62" s="493"/>
      <c r="L62" s="493"/>
      <c r="M62" s="329"/>
      <c r="N62" s="329"/>
      <c r="O62" s="329"/>
      <c r="P62" s="329"/>
      <c r="Q62" s="329"/>
    </row>
    <row r="63" spans="1:17" ht="19.5" customHeight="1">
      <c r="A63" s="78">
        <f>IF(B66="","",A62+1)</f>
      </c>
      <c r="B63" s="493"/>
      <c r="C63" s="493"/>
      <c r="D63" s="588"/>
      <c r="E63" s="588"/>
      <c r="F63" s="588"/>
      <c r="G63" s="721" t="s">
        <v>695</v>
      </c>
      <c r="H63" s="588"/>
      <c r="I63" s="588"/>
      <c r="J63" s="588"/>
      <c r="K63" s="588"/>
      <c r="L63" s="493"/>
      <c r="M63" s="722"/>
      <c r="N63" s="720"/>
      <c r="O63" s="327"/>
      <c r="P63" s="334"/>
      <c r="Q63" s="335"/>
    </row>
    <row r="64" spans="1:17" ht="19.5" customHeight="1">
      <c r="A64" s="78">
        <f>IF(B67="","",A63+1)</f>
      </c>
      <c r="B64" s="493"/>
      <c r="C64" s="493"/>
      <c r="D64" s="588"/>
      <c r="E64" s="588"/>
      <c r="F64" s="588"/>
      <c r="G64" s="588"/>
      <c r="H64" s="588"/>
      <c r="I64" s="588"/>
      <c r="J64" s="588"/>
      <c r="K64" s="588"/>
      <c r="L64" s="493"/>
      <c r="M64" s="722"/>
      <c r="N64" s="720"/>
      <c r="O64" s="327"/>
      <c r="P64" s="334"/>
      <c r="Q64" s="335"/>
    </row>
    <row r="65" spans="1:15" ht="19.5" customHeight="1">
      <c r="A65" s="493"/>
      <c r="B65" s="493"/>
      <c r="C65" s="493"/>
      <c r="D65" s="723" t="s">
        <v>696</v>
      </c>
      <c r="E65" s="724"/>
      <c r="F65" s="725" t="s">
        <v>697</v>
      </c>
      <c r="G65" s="725"/>
      <c r="H65" s="724"/>
      <c r="I65" s="725" t="s">
        <v>698</v>
      </c>
      <c r="J65" s="725"/>
      <c r="K65" s="726"/>
      <c r="L65" s="493"/>
      <c r="M65" s="493"/>
      <c r="N65" s="493"/>
      <c r="O65" s="493"/>
    </row>
    <row r="66" spans="1:15" ht="19.5" customHeight="1">
      <c r="A66" s="493"/>
      <c r="B66" s="327"/>
      <c r="C66" s="493"/>
      <c r="D66" s="730"/>
      <c r="E66" s="731"/>
      <c r="F66" s="732"/>
      <c r="G66" s="732"/>
      <c r="H66" s="731"/>
      <c r="I66" s="733"/>
      <c r="J66" s="733"/>
      <c r="K66" s="734"/>
      <c r="L66" s="493"/>
      <c r="M66" s="493"/>
      <c r="N66" s="493"/>
      <c r="O66" s="493"/>
    </row>
    <row r="67" spans="1:15" ht="19.5" customHeight="1">
      <c r="A67" s="493"/>
      <c r="B67" s="327"/>
      <c r="C67" s="493"/>
      <c r="D67" s="493"/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3"/>
    </row>
    <row r="68" spans="1:15" ht="12.75">
      <c r="A68" s="493"/>
      <c r="B68" s="493"/>
      <c r="C68" s="493"/>
      <c r="D68" s="81" t="s">
        <v>577</v>
      </c>
      <c r="E68" s="87"/>
      <c r="F68" s="87"/>
      <c r="G68" s="87"/>
      <c r="H68" s="87"/>
      <c r="I68" s="87"/>
      <c r="J68" s="87"/>
      <c r="K68" s="87"/>
      <c r="L68" s="87"/>
      <c r="M68" s="493"/>
      <c r="N68" s="493"/>
      <c r="O68" s="493"/>
    </row>
    <row r="69" spans="1:15" ht="12.75">
      <c r="A69" s="493"/>
      <c r="B69" s="493"/>
      <c r="C69" s="493"/>
      <c r="D69" s="81"/>
      <c r="E69" s="84"/>
      <c r="F69" s="84"/>
      <c r="G69" s="84"/>
      <c r="H69" s="84"/>
      <c r="I69" s="84"/>
      <c r="J69" s="84"/>
      <c r="K69" s="84"/>
      <c r="L69" s="84"/>
      <c r="M69" s="493"/>
      <c r="N69" s="493"/>
      <c r="O69" s="493"/>
    </row>
    <row r="70" spans="1:15" ht="12.75">
      <c r="A70" s="493"/>
      <c r="B70" s="493"/>
      <c r="C70" s="493"/>
      <c r="D70" s="87"/>
      <c r="E70" s="87"/>
      <c r="F70" s="87"/>
      <c r="G70" s="87"/>
      <c r="H70" s="87"/>
      <c r="I70" s="87"/>
      <c r="J70" s="87"/>
      <c r="K70" s="87"/>
      <c r="L70" s="87"/>
      <c r="M70" s="493"/>
      <c r="N70" s="493"/>
      <c r="O70" s="493"/>
    </row>
    <row r="71" spans="1:15" ht="12.75">
      <c r="A71" s="493"/>
      <c r="B71" s="493"/>
      <c r="C71" s="493"/>
      <c r="D71" s="322"/>
      <c r="E71" s="322"/>
      <c r="F71" s="322"/>
      <c r="G71" s="322"/>
      <c r="H71" s="322"/>
      <c r="I71" s="322"/>
      <c r="J71" s="322"/>
      <c r="K71" s="322"/>
      <c r="L71" s="322"/>
      <c r="M71" s="493"/>
      <c r="N71" s="493"/>
      <c r="O71" s="493"/>
    </row>
    <row r="72" spans="1:15" ht="12.75">
      <c r="A72" s="493"/>
      <c r="B72" s="493"/>
      <c r="C72" s="493"/>
      <c r="D72" s="727"/>
      <c r="E72" s="727"/>
      <c r="F72" s="727"/>
      <c r="G72" s="727"/>
      <c r="H72" s="727"/>
      <c r="I72" s="727"/>
      <c r="J72" s="727"/>
      <c r="K72" s="727"/>
      <c r="L72" s="727"/>
      <c r="M72" s="493"/>
      <c r="N72" s="493"/>
      <c r="O72" s="493"/>
    </row>
    <row r="73" spans="1:15" ht="12.75">
      <c r="A73" s="494"/>
      <c r="B73" s="493"/>
      <c r="C73" s="493"/>
      <c r="D73" s="493"/>
      <c r="E73" s="493"/>
      <c r="F73" s="493"/>
      <c r="G73" s="493"/>
      <c r="H73" s="493"/>
      <c r="I73" s="493"/>
      <c r="J73" s="493"/>
      <c r="K73" s="493"/>
      <c r="L73" s="493"/>
      <c r="M73" s="493"/>
      <c r="N73" s="493"/>
      <c r="O73" s="493"/>
    </row>
    <row r="74" spans="1:15" ht="12.75">
      <c r="A74" s="493"/>
      <c r="B74" s="493"/>
      <c r="C74" s="493"/>
      <c r="D74" s="493"/>
      <c r="E74" s="493"/>
      <c r="F74" s="493"/>
      <c r="G74" s="493"/>
      <c r="H74" s="493"/>
      <c r="I74" s="692" t="s">
        <v>1016</v>
      </c>
      <c r="J74" s="569">
        <f>+IF(Input!E14="","",Input!E14)</f>
      </c>
      <c r="K74" s="616"/>
      <c r="L74" s="525"/>
      <c r="M74" s="493"/>
      <c r="N74" s="493"/>
      <c r="O74" s="493"/>
    </row>
    <row r="75" ht="12.75">
      <c r="A75" s="18" t="s">
        <v>1272</v>
      </c>
    </row>
  </sheetData>
  <sheetProtection sheet="1" objects="1" scenarios="1"/>
  <mergeCells count="6">
    <mergeCell ref="A2:C2"/>
    <mergeCell ref="G13:G16"/>
    <mergeCell ref="A9:O9"/>
    <mergeCell ref="A10:O10"/>
    <mergeCell ref="A11:O11"/>
    <mergeCell ref="A12:O12"/>
  </mergeCells>
  <dataValidations count="4">
    <dataValidation type="list" allowBlank="1" showInputMessage="1" showErrorMessage="1" sqref="F59:F60 K51:K52 N51:N52">
      <formula1>$E$32:$E$35</formula1>
    </dataValidation>
    <dataValidation type="list" allowBlank="1" showInputMessage="1" showErrorMessage="1" sqref="I13:I16">
      <formula1>Input!$C$64:$C$68</formula1>
    </dataValidation>
    <dataValidation type="list" allowBlank="1" showInputMessage="1" showErrorMessage="1" sqref="K13:K16">
      <formula1>Input!$E$64:$E$68</formula1>
    </dataValidation>
    <dataValidation type="list" allowBlank="1" showInputMessage="1" showErrorMessage="1" sqref="B41:B58 E41:E58 H41:H42 K41:K42 N41:N42 H46:H47 K46:K47 N46:N47 H51:H52 J58:J59 M58:M59">
      <formula1>$E$32:$E$36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shererjt</dc:creator>
  <cp:keywords/>
  <dc:description/>
  <cp:lastModifiedBy>Daniel H Tobias</cp:lastModifiedBy>
  <cp:lastPrinted>2011-10-03T19:51:33Z</cp:lastPrinted>
  <dcterms:created xsi:type="dcterms:W3CDTF">2005-12-07T16:27:30Z</dcterms:created>
  <dcterms:modified xsi:type="dcterms:W3CDTF">2011-12-01T16:56:47Z</dcterms:modified>
  <cp:category/>
  <cp:version/>
  <cp:contentType/>
  <cp:contentStatus/>
</cp:coreProperties>
</file>