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4220" windowHeight="8835" tabRatio="476" activeTab="0"/>
  </bookViews>
  <sheets>
    <sheet name="A" sheetId="1" r:id="rId1"/>
  </sheets>
  <definedNames>
    <definedName name="BONDPILES">'A'!$O$15</definedName>
    <definedName name="BONDSHEETING">'A'!$O$13</definedName>
    <definedName name="BOTFOOT">'A'!$J$11</definedName>
    <definedName name="BOTSHEET">'A'!$J$12</definedName>
    <definedName name="CDWE">'A'!$J$9</definedName>
    <definedName name="COFFLENGTH">'A'!$J$16</definedName>
    <definedName name="COFFWIDTH">'A'!$J$15</definedName>
    <definedName name="EDGEDIST">'A'!$J$21</definedName>
    <definedName name="FOOTLENGTH">'A'!$J$18</definedName>
    <definedName name="FOOTWIDTH">'A'!$J$17</definedName>
    <definedName name="FRICTPILES">'A'!$O$19</definedName>
    <definedName name="FRICTSHEET">'A'!$O$17</definedName>
    <definedName name="MISCWT">'A'!$J$14</definedName>
    <definedName name="NUMPILES">'A'!$J$19</definedName>
    <definedName name="PILEDATA">'A'!$X$4:$AD$9</definedName>
    <definedName name="PILELENGTH">'A'!$J$20</definedName>
    <definedName name="PILESECT">'A'!$J$22</definedName>
    <definedName name="_xlnm.Print_Area" localSheetId="0">'A'!$B$1:$T$51</definedName>
    <definedName name="Print_Area_MI" localSheetId="0">'A'!$B$1:$X$51</definedName>
    <definedName name="PRINTRANGE">'A'!$B$1:$T$53</definedName>
    <definedName name="SBE">'A'!$J$10</definedName>
    <definedName name="SHEETWT">'A'!$J$13</definedName>
    <definedName name="T">'A'!$J$8</definedName>
    <definedName name="WTSEAL">'A'!$O$9</definedName>
    <definedName name="WTSOIL">'A'!$O$11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<sst xmlns="http://schemas.openxmlformats.org/spreadsheetml/2006/main" count="234" uniqueCount="99">
  <si>
    <t>*</t>
  </si>
  <si>
    <t>PILE</t>
  </si>
  <si>
    <t>STEEL</t>
  </si>
  <si>
    <t>DISPLACE</t>
  </si>
  <si>
    <t>FLANGE</t>
  </si>
  <si>
    <t>WEB</t>
  </si>
  <si>
    <t>SURFACE</t>
  </si>
  <si>
    <t>SECTION</t>
  </si>
  <si>
    <t>AREA</t>
  </si>
  <si>
    <t>WEIGHT</t>
  </si>
  <si>
    <t>VOLUME</t>
  </si>
  <si>
    <t>WIDTH</t>
  </si>
  <si>
    <t>DEPTH</t>
  </si>
  <si>
    <t>SQ.IN.</t>
  </si>
  <si>
    <t>LBS/FT.</t>
  </si>
  <si>
    <t>CU.FT./FT.</t>
  </si>
  <si>
    <t>INCHES</t>
  </si>
  <si>
    <t>SQ.FT./FT.</t>
  </si>
  <si>
    <t>INPUT DATA:</t>
  </si>
  <si>
    <t xml:space="preserve"> ASSUMED PARAMETERS:</t>
  </si>
  <si>
    <t>FT.</t>
  </si>
  <si>
    <t>SEALCOAT CONCRETE UNIT WT.:</t>
  </si>
  <si>
    <t>PCF.</t>
  </si>
  <si>
    <t>BUOYANT SOIL UNIT WT.:</t>
  </si>
  <si>
    <t>SEALCOAT BOND TO THE SHEETING:</t>
  </si>
  <si>
    <t>LBS./SQ.FT.</t>
  </si>
  <si>
    <t>PSI.</t>
  </si>
  <si>
    <t>LBS.</t>
  </si>
  <si>
    <t>SEALCOAT BOND TO THE PILES:</t>
  </si>
  <si>
    <t>FRICTION OF SOIL ON SHEETING:</t>
  </si>
  <si>
    <t>PSF.</t>
  </si>
  <si>
    <t>FRICTION OF SOIL ON FOUNDATION PILES:</t>
  </si>
  <si>
    <t>RESULTING FORCES:</t>
  </si>
  <si>
    <t>I</t>
  </si>
  <si>
    <t>HYDROSTATIC BUOYANCY FORCE:</t>
  </si>
  <si>
    <t>===&gt;</t>
  </si>
  <si>
    <t>KIPS</t>
  </si>
  <si>
    <t>II</t>
  </si>
  <si>
    <t>SEALCOAT CONCRETE WEIGHT:</t>
  </si>
  <si>
    <t>III</t>
  </si>
  <si>
    <t>SHEET PILING RESISTANCE (Smallest of a+b+c, or d):</t>
  </si>
  <si>
    <t xml:space="preserve">KIPS </t>
  </si>
  <si>
    <t>a)</t>
  </si>
  <si>
    <t>b)</t>
  </si>
  <si>
    <t>c)</t>
  </si>
  <si>
    <t>d)</t>
  </si>
  <si>
    <t>IV</t>
  </si>
  <si>
    <t>FOUNDATION PILING RESISTANCE (Smallest of a+b, or c):</t>
  </si>
  <si>
    <t>PULLOUT RESISTANCE OF FOUNDATION PILING (SMALLEST OF 1, OR 2 + 3):</t>
  </si>
  <si>
    <t>kips</t>
  </si>
  <si>
    <t xml:space="preserve">  =</t>
  </si>
  <si>
    <t xml:space="preserve"> =</t>
  </si>
  <si>
    <t>MISCELLANEOUS WEIGHT ATTACHED TO SHEET PILING (WALES, STRUTS, BRACING, ETC.) ===========================</t>
  </si>
  <si>
    <t>SOIL FRICTION ON SHEET PILING =========================================================================</t>
  </si>
  <si>
    <t>SEALCOAT BOND TO SHEET PILING =======================================================================</t>
  </si>
  <si>
    <t>WEIGHT OF SHEET PILING ==============================================================================</t>
  </si>
  <si>
    <t>WEIGHT OF FOUNDATION PILING =========================================================================</t>
  </si>
  <si>
    <t>SOIL FRICTION ON ALL INDIVIDUAL PILES ---------------------------------------------------------------------------------------------------------------</t>
  </si>
  <si>
    <t>SOIL FRICTION ALONG PERIMETER OF PILE GROUP ---------------------------------------------------------------------------------------------</t>
  </si>
  <si>
    <t>WEIGHT OF SOIL CONTAINED IN PILE GROUP --------------------------------------------------------------------------------------------------------------</t>
  </si>
  <si>
    <t>SEALCOAT BOND TO FOUNDATION PILING ==================================================================</t>
  </si>
  <si>
    <t>SEALCOAT THICKNESS =======================================</t>
  </si>
  <si>
    <t>COFFERDAM DESIGN WATER ELEVATION ===================================</t>
  </si>
  <si>
    <t>STREAMBED ELEVATION =======================================</t>
  </si>
  <si>
    <t>BOTTOM OF FOOTING ELEVATION ==================================</t>
  </si>
  <si>
    <t>BOTTOM OF SHEETING TIP ELEVATION =================================</t>
  </si>
  <si>
    <t>SHEET PILING WEIGHT =============================================</t>
  </si>
  <si>
    <t>COFFERDAM WIDTH ====================================================</t>
  </si>
  <si>
    <t>COFFERDAM LENGTH ===========================================</t>
  </si>
  <si>
    <t>FOOTING WIDTH ==================================================</t>
  </si>
  <si>
    <t>FOOTING LENGTH ==================================================</t>
  </si>
  <si>
    <t>EDGE OF FOOTING TO EDGE OF FOUNDATION PILES ========================</t>
  </si>
  <si>
    <t>INPUT H-PILE SECTION, OR PILE DIAMETER =========================</t>
  </si>
  <si>
    <t>MISCELLANEOUS WEIGHT (WALES, STRUTS, ETC.) ============================</t>
  </si>
  <si>
    <t>NUMBER OF PILES IN COFFERDAM ======================================</t>
  </si>
  <si>
    <t xml:space="preserve">          BUOYANT FORCE (I)</t>
  </si>
  <si>
    <t>FACTOR OF SAFETY  =</t>
  </si>
  <si>
    <t>RESISTING FORCES (II + III + IV)</t>
  </si>
  <si>
    <t>PILE LENGTH BELOW TOP OF SEAL============================================</t>
  </si>
  <si>
    <t>HP 14X117</t>
  </si>
  <si>
    <t>HP 14X102</t>
  </si>
  <si>
    <t>HP 14X89</t>
  </si>
  <si>
    <t>HP 14X73</t>
  </si>
  <si>
    <t>HP 12X84</t>
  </si>
  <si>
    <t>HP 12X74</t>
  </si>
  <si>
    <t>HP 12X63</t>
  </si>
  <si>
    <t>HP 12X53</t>
  </si>
  <si>
    <t>HP 10X57</t>
  </si>
  <si>
    <t>HP 10X42</t>
  </si>
  <si>
    <t xml:space="preserve">MS 12x0.179 </t>
  </si>
  <si>
    <t>MS 14x0.250</t>
  </si>
  <si>
    <t>MS 14x0.312</t>
  </si>
  <si>
    <t>MS 16x0.312</t>
  </si>
  <si>
    <t>MS 16x0.375</t>
  </si>
  <si>
    <t>MS 12x0.250</t>
  </si>
  <si>
    <t>HP   8X36</t>
  </si>
  <si>
    <t>************</t>
  </si>
  <si>
    <t>**********************</t>
  </si>
  <si>
    <t>SEALCOAT ANALYSIS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</si>
</sst>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0.000_)"/>
    <numFmt numFmtId="167" formatCode="0_)"/>
    <numFmt numFmtId="168" formatCode="0.0_)"/>
  </numFmts>
  <fonts count="56">
    <font>
      <sz val="12"/>
      <name val="Arial"/>
      <family val="0"/>
    </font>
    <font>
      <sz val="10"/>
      <name val="Arial"/>
      <family val="0"/>
    </font>
    <font>
      <sz val="10"/>
      <color indexed="12"/>
      <name val="Courier"/>
      <family val="3"/>
    </font>
    <font>
      <u val="single"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i/>
      <sz val="13"/>
      <name val="Arial"/>
      <family val="2"/>
    </font>
    <font>
      <b/>
      <i/>
      <u val="single"/>
      <sz val="13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color indexed="12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u val="single"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8"/>
      <name val="Times New Roman"/>
      <family val="1"/>
    </font>
    <font>
      <b/>
      <sz val="2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3" fillId="0" borderId="0" xfId="0" applyFont="1" applyAlignment="1">
      <alignment/>
    </xf>
    <xf numFmtId="165" fontId="2" fillId="0" borderId="0" xfId="0" applyNumberFormat="1" applyFont="1" applyAlignment="1" applyProtection="1">
      <alignment/>
      <protection locked="0"/>
    </xf>
    <xf numFmtId="167" fontId="2" fillId="0" borderId="0" xfId="0" applyNumberFormat="1" applyFont="1" applyAlignment="1" applyProtection="1">
      <alignment/>
      <protection locked="0"/>
    </xf>
    <xf numFmtId="165" fontId="4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165" fontId="7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5" fontId="8" fillId="0" borderId="0" xfId="0" applyNumberFormat="1" applyFont="1" applyAlignment="1" applyProtection="1">
      <alignment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8" fontId="0" fillId="0" borderId="0" xfId="0" applyNumberFormat="1" applyAlignment="1" applyProtection="1">
      <alignment/>
      <protection/>
    </xf>
    <xf numFmtId="0" fontId="0" fillId="0" borderId="0" xfId="0" applyAlignment="1">
      <alignment horizontal="fill"/>
    </xf>
    <xf numFmtId="0" fontId="0" fillId="0" borderId="0" xfId="0" applyAlignment="1">
      <alignment/>
    </xf>
    <xf numFmtId="0" fontId="10" fillId="33" borderId="0" xfId="0" applyFont="1" applyFill="1" applyAlignment="1" applyProtection="1">
      <alignment/>
      <protection locked="0"/>
    </xf>
    <xf numFmtId="165" fontId="10" fillId="33" borderId="0" xfId="0" applyNumberFormat="1" applyFont="1" applyFill="1" applyAlignment="1" applyProtection="1">
      <alignment/>
      <protection locked="0"/>
    </xf>
    <xf numFmtId="167" fontId="10" fillId="33" borderId="0" xfId="0" applyNumberFormat="1" applyFont="1" applyFill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0" fontId="13" fillId="0" borderId="0" xfId="0" applyFont="1" applyAlignment="1">
      <alignment horizontal="right"/>
    </xf>
    <xf numFmtId="165" fontId="12" fillId="0" borderId="0" xfId="0" applyNumberFormat="1" applyFont="1" applyAlignment="1" applyProtection="1">
      <alignment/>
      <protection/>
    </xf>
    <xf numFmtId="0" fontId="14" fillId="0" borderId="0" xfId="0" applyFont="1" applyAlignment="1">
      <alignment/>
    </xf>
    <xf numFmtId="165" fontId="15" fillId="0" borderId="0" xfId="0" applyNumberFormat="1" applyFont="1" applyAlignment="1" applyProtection="1">
      <alignment/>
      <protection/>
    </xf>
    <xf numFmtId="0" fontId="15" fillId="0" borderId="0" xfId="0" applyFont="1" applyAlignment="1">
      <alignment/>
    </xf>
    <xf numFmtId="0" fontId="13" fillId="0" borderId="0" xfId="0" applyFont="1" applyAlignment="1" quotePrefix="1">
      <alignment horizontal="righ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/>
    </xf>
    <xf numFmtId="165" fontId="5" fillId="0" borderId="0" xfId="0" applyNumberFormat="1" applyFont="1" applyFill="1" applyBorder="1" applyAlignment="1" applyProtection="1">
      <alignment horizontal="center"/>
      <protection/>
    </xf>
    <xf numFmtId="0" fontId="5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165" fontId="0" fillId="0" borderId="0" xfId="0" applyNumberFormat="1" applyFill="1" applyAlignment="1" applyProtection="1">
      <alignment/>
      <protection/>
    </xf>
    <xf numFmtId="165" fontId="1" fillId="0" borderId="0" xfId="0" applyNumberFormat="1" applyFont="1" applyFill="1" applyAlignment="1" applyProtection="1">
      <alignment/>
      <protection/>
    </xf>
    <xf numFmtId="165" fontId="7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9" fillId="0" borderId="0" xfId="0" applyFont="1" applyBorder="1" applyAlignment="1">
      <alignment horizontal="center"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38" fillId="0" borderId="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48</xdr:row>
      <xdr:rowOff>123825</xdr:rowOff>
    </xdr:from>
    <xdr:to>
      <xdr:col>11</xdr:col>
      <xdr:colOff>180975</xdr:colOff>
      <xdr:row>48</xdr:row>
      <xdr:rowOff>123825</xdr:rowOff>
    </xdr:to>
    <xdr:sp>
      <xdr:nvSpPr>
        <xdr:cNvPr id="1" name="Line 2"/>
        <xdr:cNvSpPr>
          <a:spLocks/>
        </xdr:cNvSpPr>
      </xdr:nvSpPr>
      <xdr:spPr>
        <a:xfrm>
          <a:off x="3305175" y="9972675"/>
          <a:ext cx="293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13</xdr:col>
      <xdr:colOff>19050</xdr:colOff>
      <xdr:row>48</xdr:row>
      <xdr:rowOff>123825</xdr:rowOff>
    </xdr:from>
    <xdr:to>
      <xdr:col>15</xdr:col>
      <xdr:colOff>142875</xdr:colOff>
      <xdr:row>48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6858000" y="9972675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0</xdr:col>
      <xdr:colOff>133350</xdr:colOff>
      <xdr:row>0</xdr:row>
      <xdr:rowOff>28575</xdr:rowOff>
    </xdr:from>
    <xdr:to>
      <xdr:col>6</xdr:col>
      <xdr:colOff>695325</xdr:colOff>
      <xdr:row>4</xdr:row>
      <xdr:rowOff>76200</xdr:rowOff>
    </xdr:to>
    <xdr:pic>
      <xdr:nvPicPr>
        <xdr:cNvPr id="3" name="Picture 6" descr="DOT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31146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pageSetUpPr fitToPage="1"/>
  </sheetPr>
  <dimension ref="A1:AO112"/>
  <sheetViews>
    <sheetView tabSelected="1" defaultGridColor="0" zoomScale="85" zoomScaleNormal="85" zoomScalePageLayoutView="0" colorId="22" workbookViewId="0" topLeftCell="A1">
      <selection activeCell="J20" sqref="J20"/>
    </sheetView>
  </sheetViews>
  <sheetFormatPr defaultColWidth="9.77734375" defaultRowHeight="15"/>
  <cols>
    <col min="1" max="1" width="1.77734375" style="0" customWidth="1"/>
    <col min="2" max="2" width="2.88671875" style="0" customWidth="1"/>
    <col min="3" max="3" width="2.77734375" style="0" customWidth="1"/>
    <col min="4" max="4" width="3.77734375" style="0" customWidth="1"/>
    <col min="5" max="5" width="8.77734375" style="0" customWidth="1"/>
    <col min="6" max="6" width="9.77734375" style="0" customWidth="1"/>
    <col min="7" max="7" width="8.77734375" style="0" customWidth="1"/>
    <col min="8" max="8" width="6.77734375" style="0" customWidth="1"/>
    <col min="9" max="9" width="7.77734375" style="0" customWidth="1"/>
    <col min="10" max="10" width="10.77734375" style="0" customWidth="1"/>
    <col min="11" max="11" width="6.77734375" style="0" customWidth="1"/>
    <col min="12" max="12" width="3.10546875" style="0" customWidth="1"/>
    <col min="13" max="13" width="5.99609375" style="0" customWidth="1"/>
    <col min="14" max="14" width="6.99609375" style="0" customWidth="1"/>
    <col min="15" max="15" width="4.99609375" style="0" customWidth="1"/>
    <col min="16" max="16" width="7.99609375" style="0" customWidth="1"/>
    <col min="17" max="17" width="5.6640625" style="0" customWidth="1"/>
    <col min="18" max="18" width="3.77734375" style="0" customWidth="1"/>
    <col min="19" max="19" width="8.77734375" style="0" customWidth="1"/>
    <col min="20" max="20" width="5.77734375" style="0" customWidth="1"/>
    <col min="21" max="21" width="3.6640625" style="0" customWidth="1"/>
    <col min="22" max="22" width="9.77734375" style="0" customWidth="1"/>
    <col min="23" max="23" width="4.3359375" style="23" customWidth="1"/>
    <col min="24" max="24" width="14.88671875" style="0" customWidth="1"/>
    <col min="25" max="25" width="6.77734375" style="0" customWidth="1"/>
    <col min="26" max="26" width="7.77734375" style="0" customWidth="1"/>
    <col min="27" max="27" width="9.77734375" style="0" customWidth="1"/>
    <col min="28" max="28" width="8.77734375" style="0" customWidth="1"/>
    <col min="29" max="29" width="7.77734375" style="0" customWidth="1"/>
    <col min="30" max="30" width="9.99609375" style="0" customWidth="1"/>
    <col min="31" max="31" width="9.77734375" style="0" customWidth="1"/>
    <col min="32" max="32" width="7.77734375" style="0" customWidth="1"/>
    <col min="33" max="33" width="10.10546875" style="0" customWidth="1"/>
    <col min="34" max="34" width="7.3359375" style="0" customWidth="1"/>
  </cols>
  <sheetData>
    <row r="1" spans="2:31" ht="16.5" customHeight="1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V1" s="22" t="s">
        <v>0</v>
      </c>
      <c r="X1" t="s">
        <v>1</v>
      </c>
      <c r="Y1" t="s">
        <v>2</v>
      </c>
      <c r="Z1" s="57" t="s">
        <v>2</v>
      </c>
      <c r="AA1" t="s">
        <v>3</v>
      </c>
      <c r="AB1" t="s">
        <v>4</v>
      </c>
      <c r="AC1" t="s">
        <v>5</v>
      </c>
      <c r="AD1" t="s">
        <v>6</v>
      </c>
      <c r="AE1" s="22" t="s">
        <v>0</v>
      </c>
    </row>
    <row r="2" spans="2:31" ht="16.5" customHeight="1">
      <c r="B2" s="63"/>
      <c r="C2" s="46"/>
      <c r="D2" s="46"/>
      <c r="E2" s="46"/>
      <c r="F2" s="46"/>
      <c r="G2" s="46"/>
      <c r="H2" s="46"/>
      <c r="I2" s="46"/>
      <c r="J2" s="64"/>
      <c r="K2" s="65"/>
      <c r="L2" s="46"/>
      <c r="M2" s="46"/>
      <c r="N2" s="46"/>
      <c r="O2" s="68" t="s">
        <v>98</v>
      </c>
      <c r="P2" s="68"/>
      <c r="Q2" s="68"/>
      <c r="R2" s="68"/>
      <c r="S2" s="68"/>
      <c r="T2" s="68"/>
      <c r="U2" s="62"/>
      <c r="V2" s="22" t="s">
        <v>0</v>
      </c>
      <c r="X2" t="s">
        <v>7</v>
      </c>
      <c r="Y2" t="s">
        <v>8</v>
      </c>
      <c r="Z2" s="57" t="s">
        <v>9</v>
      </c>
      <c r="AA2" t="s">
        <v>10</v>
      </c>
      <c r="AB2" t="s">
        <v>11</v>
      </c>
      <c r="AC2" t="s">
        <v>12</v>
      </c>
      <c r="AD2" t="s">
        <v>8</v>
      </c>
      <c r="AE2" s="22" t="s">
        <v>0</v>
      </c>
    </row>
    <row r="3" spans="2:31" ht="16.5" customHeight="1">
      <c r="B3" s="46"/>
      <c r="C3" s="46"/>
      <c r="D3" s="46"/>
      <c r="E3" s="46"/>
      <c r="F3" s="46"/>
      <c r="G3" s="46"/>
      <c r="H3" s="46"/>
      <c r="I3" s="66"/>
      <c r="J3" s="46"/>
      <c r="K3" s="67"/>
      <c r="L3" s="46"/>
      <c r="M3" s="46"/>
      <c r="N3" s="46"/>
      <c r="O3" s="68"/>
      <c r="P3" s="68"/>
      <c r="Q3" s="68"/>
      <c r="R3" s="68"/>
      <c r="S3" s="68"/>
      <c r="T3" s="68"/>
      <c r="U3" s="62"/>
      <c r="V3" s="22" t="s">
        <v>0</v>
      </c>
      <c r="Y3" t="s">
        <v>13</v>
      </c>
      <c r="Z3" s="57" t="s">
        <v>14</v>
      </c>
      <c r="AA3" t="s">
        <v>15</v>
      </c>
      <c r="AB3" t="s">
        <v>16</v>
      </c>
      <c r="AC3" t="s">
        <v>16</v>
      </c>
      <c r="AD3" t="s">
        <v>17</v>
      </c>
      <c r="AE3" s="22" t="s">
        <v>0</v>
      </c>
    </row>
    <row r="4" spans="2:31" ht="16.5" customHeight="1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62"/>
      <c r="V4" s="22" t="s">
        <v>0</v>
      </c>
      <c r="W4" s="23">
        <v>1</v>
      </c>
      <c r="X4" s="61" t="s">
        <v>89</v>
      </c>
      <c r="Y4" s="2">
        <v>6.65</v>
      </c>
      <c r="Z4" s="58">
        <v>22.6</v>
      </c>
      <c r="AA4" s="3">
        <f>(Y4+106)/144</f>
        <v>0.7822916666666667</v>
      </c>
      <c r="AD4" s="2">
        <v>3.14</v>
      </c>
      <c r="AE4" s="22" t="s">
        <v>0</v>
      </c>
    </row>
    <row r="5" spans="22:31" ht="16.5" customHeight="1">
      <c r="V5" s="22" t="s">
        <v>0</v>
      </c>
      <c r="W5" s="23">
        <v>2</v>
      </c>
      <c r="X5" s="61" t="s">
        <v>94</v>
      </c>
      <c r="Y5" s="2">
        <v>9.23</v>
      </c>
      <c r="Z5" s="58">
        <v>31.37</v>
      </c>
      <c r="AA5" s="3">
        <f>(Y5+104)/144</f>
        <v>0.7863194444444445</v>
      </c>
      <c r="AD5" s="2">
        <v>3.141592653589793</v>
      </c>
      <c r="AE5" s="22" t="s">
        <v>0</v>
      </c>
    </row>
    <row r="6" spans="2:31" ht="18">
      <c r="B6" s="27" t="s">
        <v>18</v>
      </c>
      <c r="M6" s="27" t="s">
        <v>19</v>
      </c>
      <c r="V6" s="22" t="s">
        <v>0</v>
      </c>
      <c r="W6" s="23">
        <v>3</v>
      </c>
      <c r="X6" s="61" t="s">
        <v>90</v>
      </c>
      <c r="Y6">
        <v>10.8</v>
      </c>
      <c r="Z6" s="58">
        <v>36.71</v>
      </c>
      <c r="AA6" s="3">
        <f>(Y6+143)/144</f>
        <v>1.0680555555555555</v>
      </c>
      <c r="AD6" s="2">
        <v>3.665191429188092</v>
      </c>
      <c r="AE6" s="22" t="s">
        <v>0</v>
      </c>
    </row>
    <row r="7" spans="2:31" ht="15">
      <c r="B7" s="4"/>
      <c r="V7" s="22" t="s">
        <v>0</v>
      </c>
      <c r="W7" s="23">
        <v>4</v>
      </c>
      <c r="X7" s="61" t="s">
        <v>91</v>
      </c>
      <c r="Y7">
        <v>13.4</v>
      </c>
      <c r="Z7" s="58">
        <v>46.61</v>
      </c>
      <c r="AA7" s="3">
        <f>(Y7+141)/144</f>
        <v>1.0722222222222222</v>
      </c>
      <c r="AD7" s="2">
        <v>3.67</v>
      </c>
      <c r="AE7" s="22" t="s">
        <v>0</v>
      </c>
    </row>
    <row r="8" spans="2:31" ht="15">
      <c r="B8" s="4"/>
      <c r="C8" t="s">
        <v>61</v>
      </c>
      <c r="J8" s="24">
        <v>3.75</v>
      </c>
      <c r="K8" t="s">
        <v>20</v>
      </c>
      <c r="N8" t="s">
        <v>21</v>
      </c>
      <c r="V8" s="22" t="s">
        <v>0</v>
      </c>
      <c r="W8" s="23">
        <f>+W7+1</f>
        <v>5</v>
      </c>
      <c r="X8" s="61" t="s">
        <v>92</v>
      </c>
      <c r="Y8">
        <v>15.4</v>
      </c>
      <c r="Z8" s="58">
        <v>52.27</v>
      </c>
      <c r="AA8" s="3">
        <f>(Y8+186)/144</f>
        <v>1.3986111111111112</v>
      </c>
      <c r="AB8" s="22"/>
      <c r="AC8" s="22"/>
      <c r="AD8" s="2">
        <v>4.194</v>
      </c>
      <c r="AE8" s="22" t="s">
        <v>0</v>
      </c>
    </row>
    <row r="9" spans="2:31" ht="15">
      <c r="B9" s="4"/>
      <c r="C9" t="s">
        <v>62</v>
      </c>
      <c r="J9" s="24">
        <f>612+3</f>
        <v>615</v>
      </c>
      <c r="K9" t="s">
        <v>20</v>
      </c>
      <c r="O9">
        <v>150</v>
      </c>
      <c r="P9" t="s">
        <v>22</v>
      </c>
      <c r="V9" s="22" t="s">
        <v>0</v>
      </c>
      <c r="W9" s="23">
        <f aca="true" t="shared" si="0" ref="W9:W20">+W8+1</f>
        <v>6</v>
      </c>
      <c r="X9" s="61" t="s">
        <v>93</v>
      </c>
      <c r="Y9">
        <v>18.4</v>
      </c>
      <c r="Z9" s="58">
        <v>62.58</v>
      </c>
      <c r="AA9" s="3">
        <f>(Y9+186)/144</f>
        <v>1.4194444444444445</v>
      </c>
      <c r="AD9" s="2">
        <v>4.19</v>
      </c>
      <c r="AE9" s="22" t="s">
        <v>0</v>
      </c>
    </row>
    <row r="10" spans="2:31" ht="15">
      <c r="B10" s="4"/>
      <c r="C10" t="s">
        <v>63</v>
      </c>
      <c r="J10" s="24">
        <v>602</v>
      </c>
      <c r="K10" t="s">
        <v>20</v>
      </c>
      <c r="N10" t="s">
        <v>23</v>
      </c>
      <c r="V10" s="22" t="s">
        <v>0</v>
      </c>
      <c r="W10" s="23">
        <f t="shared" si="0"/>
        <v>7</v>
      </c>
      <c r="X10" s="10" t="s">
        <v>95</v>
      </c>
      <c r="Y10">
        <v>10.6</v>
      </c>
      <c r="Z10" s="58">
        <f aca="true" t="shared" si="1" ref="Z10:Z20">Y10*490/144</f>
        <v>36.06944444444444</v>
      </c>
      <c r="AA10" s="3">
        <f aca="true" t="shared" si="2" ref="AA10:AA20">Y10/144</f>
        <v>0.07361111111111111</v>
      </c>
      <c r="AB10">
        <v>8.155</v>
      </c>
      <c r="AC10">
        <v>8.02</v>
      </c>
      <c r="AD10" s="2">
        <f aca="true" t="shared" si="3" ref="AD10:AD20">2*(AB10+AC10)/12*1</f>
        <v>2.695833333333333</v>
      </c>
      <c r="AE10" s="22" t="s">
        <v>0</v>
      </c>
    </row>
    <row r="11" spans="2:31" ht="15">
      <c r="B11" s="4"/>
      <c r="C11" t="s">
        <v>64</v>
      </c>
      <c r="J11" s="24">
        <v>596</v>
      </c>
      <c r="K11" t="s">
        <v>20</v>
      </c>
      <c r="O11">
        <v>40</v>
      </c>
      <c r="P11" t="s">
        <v>22</v>
      </c>
      <c r="V11" s="22" t="s">
        <v>0</v>
      </c>
      <c r="W11" s="23">
        <f t="shared" si="0"/>
        <v>8</v>
      </c>
      <c r="X11" s="10" t="s">
        <v>88</v>
      </c>
      <c r="Y11">
        <v>12.4</v>
      </c>
      <c r="Z11" s="58">
        <f t="shared" si="1"/>
        <v>42.19444444444444</v>
      </c>
      <c r="AA11" s="3">
        <f t="shared" si="2"/>
        <v>0.08611111111111111</v>
      </c>
      <c r="AB11">
        <v>10.075</v>
      </c>
      <c r="AC11">
        <v>9.7</v>
      </c>
      <c r="AD11" s="2">
        <f t="shared" si="3"/>
        <v>3.295833333333333</v>
      </c>
      <c r="AE11" s="22" t="s">
        <v>0</v>
      </c>
    </row>
    <row r="12" spans="2:31" ht="15">
      <c r="B12" s="4"/>
      <c r="C12" t="s">
        <v>65</v>
      </c>
      <c r="J12" s="24">
        <v>575</v>
      </c>
      <c r="K12" t="s">
        <v>20</v>
      </c>
      <c r="N12" t="s">
        <v>24</v>
      </c>
      <c r="V12" s="22" t="s">
        <v>0</v>
      </c>
      <c r="W12" s="23">
        <f t="shared" si="0"/>
        <v>9</v>
      </c>
      <c r="X12" s="10" t="s">
        <v>87</v>
      </c>
      <c r="Y12">
        <v>16.8</v>
      </c>
      <c r="Z12" s="58">
        <f t="shared" si="1"/>
        <v>57.166666666666664</v>
      </c>
      <c r="AA12" s="3">
        <f t="shared" si="2"/>
        <v>0.11666666666666667</v>
      </c>
      <c r="AB12">
        <v>10.225</v>
      </c>
      <c r="AC12">
        <v>9.99</v>
      </c>
      <c r="AD12" s="2">
        <f t="shared" si="3"/>
        <v>3.3691666666666666</v>
      </c>
      <c r="AE12" s="22" t="s">
        <v>0</v>
      </c>
    </row>
    <row r="13" spans="2:31" ht="15">
      <c r="B13" s="4"/>
      <c r="C13" t="s">
        <v>66</v>
      </c>
      <c r="J13" s="25">
        <v>22</v>
      </c>
      <c r="K13" t="s">
        <v>25</v>
      </c>
      <c r="O13">
        <v>7</v>
      </c>
      <c r="P13" t="s">
        <v>26</v>
      </c>
      <c r="V13" s="22" t="s">
        <v>0</v>
      </c>
      <c r="W13" s="23">
        <f t="shared" si="0"/>
        <v>10</v>
      </c>
      <c r="X13" s="10" t="s">
        <v>86</v>
      </c>
      <c r="Y13">
        <v>15.5</v>
      </c>
      <c r="Z13" s="58">
        <f t="shared" si="1"/>
        <v>52.74305555555556</v>
      </c>
      <c r="AA13" s="3">
        <f t="shared" si="2"/>
        <v>0.1076388888888889</v>
      </c>
      <c r="AB13">
        <v>12.045</v>
      </c>
      <c r="AC13">
        <v>11.78</v>
      </c>
      <c r="AD13" s="2">
        <f t="shared" si="3"/>
        <v>3.970833333333333</v>
      </c>
      <c r="AE13" s="22" t="s">
        <v>0</v>
      </c>
    </row>
    <row r="14" spans="2:31" ht="15">
      <c r="B14" s="4"/>
      <c r="C14" t="s">
        <v>73</v>
      </c>
      <c r="J14" s="25">
        <v>8586</v>
      </c>
      <c r="K14" t="s">
        <v>27</v>
      </c>
      <c r="N14" t="s">
        <v>28</v>
      </c>
      <c r="V14" s="22" t="s">
        <v>0</v>
      </c>
      <c r="W14" s="23">
        <f t="shared" si="0"/>
        <v>11</v>
      </c>
      <c r="X14" s="10" t="s">
        <v>85</v>
      </c>
      <c r="Y14">
        <v>18.4</v>
      </c>
      <c r="Z14" s="58">
        <f t="shared" si="1"/>
        <v>62.611111111111114</v>
      </c>
      <c r="AA14" s="3">
        <f t="shared" si="2"/>
        <v>0.12777777777777777</v>
      </c>
      <c r="AB14">
        <v>12.125</v>
      </c>
      <c r="AC14">
        <v>11.94</v>
      </c>
      <c r="AD14" s="2">
        <f t="shared" si="3"/>
        <v>4.010833333333333</v>
      </c>
      <c r="AE14" s="22" t="s">
        <v>0</v>
      </c>
    </row>
    <row r="15" spans="2:31" ht="15">
      <c r="B15" s="4"/>
      <c r="C15" t="s">
        <v>67</v>
      </c>
      <c r="J15" s="25">
        <v>16</v>
      </c>
      <c r="K15" t="s">
        <v>20</v>
      </c>
      <c r="O15">
        <v>7</v>
      </c>
      <c r="P15" t="s">
        <v>26</v>
      </c>
      <c r="V15" s="22" t="s">
        <v>0</v>
      </c>
      <c r="W15" s="23">
        <f t="shared" si="0"/>
        <v>12</v>
      </c>
      <c r="X15" s="10" t="s">
        <v>84</v>
      </c>
      <c r="Y15">
        <v>21.8</v>
      </c>
      <c r="Z15" s="58">
        <f t="shared" si="1"/>
        <v>74.18055555555556</v>
      </c>
      <c r="AA15" s="3">
        <f t="shared" si="2"/>
        <v>0.1513888888888889</v>
      </c>
      <c r="AB15">
        <v>12.215</v>
      </c>
      <c r="AC15">
        <v>12.13</v>
      </c>
      <c r="AD15" s="2">
        <f t="shared" si="3"/>
        <v>4.0575</v>
      </c>
      <c r="AE15" s="22" t="s">
        <v>0</v>
      </c>
    </row>
    <row r="16" spans="2:31" ht="15">
      <c r="B16" s="4"/>
      <c r="C16" t="s">
        <v>68</v>
      </c>
      <c r="J16" s="25">
        <v>34</v>
      </c>
      <c r="K16" t="s">
        <v>20</v>
      </c>
      <c r="N16" t="s">
        <v>29</v>
      </c>
      <c r="V16" s="22" t="s">
        <v>0</v>
      </c>
      <c r="W16" s="23">
        <f t="shared" si="0"/>
        <v>13</v>
      </c>
      <c r="X16" s="10" t="s">
        <v>83</v>
      </c>
      <c r="Y16">
        <v>24.6</v>
      </c>
      <c r="Z16" s="58">
        <f t="shared" si="1"/>
        <v>83.70833333333333</v>
      </c>
      <c r="AA16" s="3">
        <f t="shared" si="2"/>
        <v>0.17083333333333334</v>
      </c>
      <c r="AB16">
        <v>12.295</v>
      </c>
      <c r="AC16">
        <v>12.28</v>
      </c>
      <c r="AD16" s="2">
        <f t="shared" si="3"/>
        <v>4.095833333333333</v>
      </c>
      <c r="AE16" s="22" t="s">
        <v>0</v>
      </c>
    </row>
    <row r="17" spans="2:31" ht="15">
      <c r="B17" s="4"/>
      <c r="C17" t="s">
        <v>69</v>
      </c>
      <c r="J17" s="25">
        <v>12</v>
      </c>
      <c r="K17" t="s">
        <v>20</v>
      </c>
      <c r="O17">
        <v>150</v>
      </c>
      <c r="P17" t="s">
        <v>30</v>
      </c>
      <c r="V17" s="22" t="s">
        <v>0</v>
      </c>
      <c r="W17" s="23">
        <f t="shared" si="0"/>
        <v>14</v>
      </c>
      <c r="X17" s="10" t="s">
        <v>82</v>
      </c>
      <c r="Y17">
        <v>21.4</v>
      </c>
      <c r="Z17" s="58">
        <f t="shared" si="1"/>
        <v>72.81944444444444</v>
      </c>
      <c r="AA17" s="3">
        <f t="shared" si="2"/>
        <v>0.1486111111111111</v>
      </c>
      <c r="AB17">
        <v>14.585</v>
      </c>
      <c r="AC17">
        <v>13.61</v>
      </c>
      <c r="AD17" s="2">
        <f t="shared" si="3"/>
        <v>4.699166666666667</v>
      </c>
      <c r="AE17" s="22" t="s">
        <v>0</v>
      </c>
    </row>
    <row r="18" spans="2:31" ht="15">
      <c r="B18" s="4"/>
      <c r="C18" t="s">
        <v>70</v>
      </c>
      <c r="J18" s="25">
        <v>30</v>
      </c>
      <c r="K18" t="s">
        <v>20</v>
      </c>
      <c r="N18" t="s">
        <v>31</v>
      </c>
      <c r="V18" s="22" t="s">
        <v>0</v>
      </c>
      <c r="W18" s="23">
        <f t="shared" si="0"/>
        <v>15</v>
      </c>
      <c r="X18" s="10" t="s">
        <v>81</v>
      </c>
      <c r="Y18">
        <v>26.1</v>
      </c>
      <c r="Z18" s="58">
        <f t="shared" si="1"/>
        <v>88.8125</v>
      </c>
      <c r="AA18" s="3">
        <f t="shared" si="2"/>
        <v>0.18125000000000002</v>
      </c>
      <c r="AB18">
        <v>14.695</v>
      </c>
      <c r="AC18">
        <v>13.83</v>
      </c>
      <c r="AD18" s="2">
        <f t="shared" si="3"/>
        <v>4.754166666666666</v>
      </c>
      <c r="AE18" s="22" t="s">
        <v>0</v>
      </c>
    </row>
    <row r="19" spans="2:31" ht="15">
      <c r="B19" s="4"/>
      <c r="C19" t="s">
        <v>74</v>
      </c>
      <c r="J19" s="26">
        <v>14</v>
      </c>
      <c r="O19">
        <v>150</v>
      </c>
      <c r="P19" t="s">
        <v>30</v>
      </c>
      <c r="V19" s="22" t="s">
        <v>0</v>
      </c>
      <c r="W19" s="23">
        <f t="shared" si="0"/>
        <v>16</v>
      </c>
      <c r="X19" s="10" t="s">
        <v>80</v>
      </c>
      <c r="Y19">
        <v>30</v>
      </c>
      <c r="Z19" s="58">
        <f t="shared" si="1"/>
        <v>102.08333333333333</v>
      </c>
      <c r="AA19" s="3">
        <f t="shared" si="2"/>
        <v>0.20833333333333334</v>
      </c>
      <c r="AB19">
        <v>14.785</v>
      </c>
      <c r="AC19">
        <v>14.01</v>
      </c>
      <c r="AD19" s="2">
        <f t="shared" si="3"/>
        <v>4.799166666666667</v>
      </c>
      <c r="AE19" s="22" t="s">
        <v>0</v>
      </c>
    </row>
    <row r="20" spans="2:31" ht="15">
      <c r="B20" s="4"/>
      <c r="C20" t="s">
        <v>78</v>
      </c>
      <c r="J20" s="25">
        <f>-547+596</f>
        <v>49</v>
      </c>
      <c r="K20" t="s">
        <v>20</v>
      </c>
      <c r="V20" s="22" t="s">
        <v>0</v>
      </c>
      <c r="W20" s="23">
        <f t="shared" si="0"/>
        <v>17</v>
      </c>
      <c r="X20" s="10" t="s">
        <v>79</v>
      </c>
      <c r="Y20">
        <v>34.4</v>
      </c>
      <c r="Z20" s="58">
        <f t="shared" si="1"/>
        <v>117.05555555555556</v>
      </c>
      <c r="AA20" s="3">
        <f t="shared" si="2"/>
        <v>0.23888888888888887</v>
      </c>
      <c r="AB20">
        <v>14.885</v>
      </c>
      <c r="AC20">
        <v>14.21</v>
      </c>
      <c r="AD20" s="2">
        <f t="shared" si="3"/>
        <v>4.849166666666666</v>
      </c>
      <c r="AE20" s="22" t="s">
        <v>0</v>
      </c>
    </row>
    <row r="21" spans="2:31" ht="15">
      <c r="B21" s="4"/>
      <c r="C21" t="s">
        <v>71</v>
      </c>
      <c r="J21" s="25">
        <v>1.25</v>
      </c>
      <c r="K21" t="s">
        <v>20</v>
      </c>
      <c r="V21" s="22" t="s">
        <v>0</v>
      </c>
      <c r="W21" s="22" t="s">
        <v>0</v>
      </c>
      <c r="X21" s="22" t="s">
        <v>0</v>
      </c>
      <c r="Y21" s="22" t="s">
        <v>0</v>
      </c>
      <c r="Z21" s="22" t="s">
        <v>0</v>
      </c>
      <c r="AA21" s="22" t="s">
        <v>0</v>
      </c>
      <c r="AB21" s="22" t="s">
        <v>0</v>
      </c>
      <c r="AC21" s="22" t="s">
        <v>0</v>
      </c>
      <c r="AD21" s="22" t="s">
        <v>0</v>
      </c>
      <c r="AE21" s="22" t="s">
        <v>0</v>
      </c>
    </row>
    <row r="22" spans="2:22" ht="15">
      <c r="B22" s="4"/>
      <c r="C22" t="s">
        <v>72</v>
      </c>
      <c r="J22" s="24">
        <v>5</v>
      </c>
      <c r="V22" s="22" t="s">
        <v>0</v>
      </c>
    </row>
    <row r="23" spans="2:22" ht="15">
      <c r="B23" s="4"/>
      <c r="V23" s="22" t="s">
        <v>0</v>
      </c>
    </row>
    <row r="24" spans="2:22" ht="15">
      <c r="B24" s="4"/>
      <c r="V24" s="22" t="s">
        <v>0</v>
      </c>
    </row>
    <row r="25" spans="2:27" ht="18">
      <c r="B25" s="27" t="s">
        <v>32</v>
      </c>
      <c r="J25" s="2"/>
      <c r="K25" s="7"/>
      <c r="V25" s="22" t="s">
        <v>0</v>
      </c>
      <c r="AA25" s="1"/>
    </row>
    <row r="26" spans="16:22" ht="15">
      <c r="P26" s="7"/>
      <c r="Q26" s="7"/>
      <c r="R26" s="7"/>
      <c r="V26" s="22" t="s">
        <v>0</v>
      </c>
    </row>
    <row r="27" spans="2:22" ht="16.5">
      <c r="B27" s="39" t="s">
        <v>33</v>
      </c>
      <c r="C27" s="9" t="s">
        <v>34</v>
      </c>
      <c r="D27" s="10"/>
      <c r="E27" s="10"/>
      <c r="F27" s="10"/>
      <c r="G27" s="10"/>
      <c r="H27" s="10"/>
      <c r="I27" s="10"/>
      <c r="R27" s="11" t="s">
        <v>35</v>
      </c>
      <c r="S27" s="60">
        <f>(J15*J16-VLOOKUP(J22,W4:AD19,5)*J19)*0.0624*(J9-J11+J8)</f>
        <v>744.4658433333334</v>
      </c>
      <c r="T27" s="9" t="s">
        <v>36</v>
      </c>
      <c r="U27" s="9"/>
      <c r="V27" s="22" t="s">
        <v>0</v>
      </c>
    </row>
    <row r="28" spans="2:41" ht="16.5">
      <c r="B28" s="39"/>
      <c r="C28" s="40"/>
      <c r="R28" s="9"/>
      <c r="S28" s="13"/>
      <c r="T28" s="9"/>
      <c r="U28" s="9"/>
      <c r="V28" s="22" t="s">
        <v>0</v>
      </c>
      <c r="AK28" s="3"/>
      <c r="AL28" s="2"/>
      <c r="AO28" s="2"/>
    </row>
    <row r="29" spans="2:41" ht="16.5">
      <c r="B29" s="39" t="s">
        <v>37</v>
      </c>
      <c r="C29" s="9" t="s">
        <v>38</v>
      </c>
      <c r="D29" s="10"/>
      <c r="E29" s="10"/>
      <c r="F29" s="14"/>
      <c r="G29" s="14"/>
      <c r="H29" s="10"/>
      <c r="I29" s="10"/>
      <c r="R29" s="11" t="s">
        <v>35</v>
      </c>
      <c r="S29" s="60">
        <f>$J$8*O9/1000*(J15*J16-VLOOKUP(J22,W4:AD19,5)*J19)</f>
        <v>294.98593750000003</v>
      </c>
      <c r="T29" s="9" t="s">
        <v>36</v>
      </c>
      <c r="U29" s="9"/>
      <c r="V29" s="22" t="s">
        <v>0</v>
      </c>
      <c r="AK29" s="3"/>
      <c r="AL29" s="2"/>
      <c r="AO29" s="2"/>
    </row>
    <row r="30" spans="2:41" ht="16.5">
      <c r="B30" s="39"/>
      <c r="C30" s="40"/>
      <c r="R30" s="9"/>
      <c r="S30" s="13"/>
      <c r="T30" s="9"/>
      <c r="U30" s="9"/>
      <c r="V30" s="22" t="s">
        <v>0</v>
      </c>
      <c r="AK30" s="3"/>
      <c r="AL30" s="2"/>
      <c r="AO30" s="2"/>
    </row>
    <row r="31" spans="2:41" ht="16.5">
      <c r="B31" s="39" t="s">
        <v>39</v>
      </c>
      <c r="C31" s="9" t="s">
        <v>40</v>
      </c>
      <c r="R31" s="11" t="s">
        <v>35</v>
      </c>
      <c r="S31" s="12">
        <f>MINA((P32+P34+P33),P35)</f>
        <v>378</v>
      </c>
      <c r="T31" s="9" t="s">
        <v>41</v>
      </c>
      <c r="U31" s="9"/>
      <c r="V31" s="22" t="s">
        <v>0</v>
      </c>
      <c r="AK31" s="3"/>
      <c r="AL31" s="2"/>
      <c r="AO31" s="2"/>
    </row>
    <row r="32" spans="2:41" ht="18">
      <c r="B32" s="8"/>
      <c r="C32" s="30" t="s">
        <v>42</v>
      </c>
      <c r="D32" s="31" t="s">
        <v>55</v>
      </c>
      <c r="E32" s="15"/>
      <c r="N32" s="16"/>
      <c r="O32" s="38"/>
      <c r="P32" s="34">
        <f>2*(J15+J16)*(MAXA(J9,J10)-J12)*J13/1000</f>
        <v>88</v>
      </c>
      <c r="Q32" s="31" t="s">
        <v>36</v>
      </c>
      <c r="S32" s="15"/>
      <c r="T32" s="9"/>
      <c r="U32" s="9"/>
      <c r="V32" s="22" t="s">
        <v>0</v>
      </c>
      <c r="AK32" s="3"/>
      <c r="AL32" s="2"/>
      <c r="AO32" s="2"/>
    </row>
    <row r="33" spans="2:41" ht="18">
      <c r="B33" s="8"/>
      <c r="C33" s="30" t="s">
        <v>43</v>
      </c>
      <c r="D33" s="31" t="s">
        <v>52</v>
      </c>
      <c r="E33" s="15"/>
      <c r="N33" s="16"/>
      <c r="O33" s="38"/>
      <c r="P33" s="34">
        <f>J14/1000</f>
        <v>8.586</v>
      </c>
      <c r="Q33" s="31" t="s">
        <v>36</v>
      </c>
      <c r="S33" s="15"/>
      <c r="T33" s="9"/>
      <c r="U33" s="9"/>
      <c r="V33" s="22" t="s">
        <v>0</v>
      </c>
      <c r="AK33" s="3"/>
      <c r="AL33" s="2"/>
      <c r="AO33" s="2"/>
    </row>
    <row r="34" spans="2:41" ht="18">
      <c r="B34" s="8"/>
      <c r="C34" s="30" t="s">
        <v>44</v>
      </c>
      <c r="D34" s="31" t="s">
        <v>53</v>
      </c>
      <c r="E34" s="15"/>
      <c r="N34" s="16"/>
      <c r="O34" s="33"/>
      <c r="P34" s="34">
        <f>2*(J15+J16)*(J10-J12)*O17/1000</f>
        <v>405</v>
      </c>
      <c r="Q34" s="31" t="s">
        <v>36</v>
      </c>
      <c r="S34" s="15"/>
      <c r="T34" s="9"/>
      <c r="U34" s="9"/>
      <c r="V34" s="22" t="s">
        <v>0</v>
      </c>
      <c r="Y34" s="5"/>
      <c r="AK34" s="3"/>
      <c r="AL34" s="2"/>
      <c r="AO34" s="2"/>
    </row>
    <row r="35" spans="2:41" ht="18">
      <c r="B35" s="8"/>
      <c r="C35" s="30" t="s">
        <v>45</v>
      </c>
      <c r="D35" s="31" t="s">
        <v>54</v>
      </c>
      <c r="E35" s="15"/>
      <c r="N35" s="16"/>
      <c r="O35" s="33"/>
      <c r="P35" s="34">
        <f>2*(J15+J16)*J8*(O13/1000*144)</f>
        <v>378</v>
      </c>
      <c r="Q35" s="31" t="s">
        <v>36</v>
      </c>
      <c r="S35" s="15"/>
      <c r="T35" s="9"/>
      <c r="U35" s="9"/>
      <c r="V35" s="22" t="s">
        <v>0</v>
      </c>
      <c r="Y35" s="5"/>
      <c r="AK35" s="3"/>
      <c r="AL35" s="2"/>
      <c r="AO35" s="2"/>
    </row>
    <row r="36" spans="2:41" ht="18">
      <c r="B36" s="8"/>
      <c r="M36" s="17"/>
      <c r="N36" s="9"/>
      <c r="O36" s="35"/>
      <c r="P36" s="36"/>
      <c r="Q36" s="36"/>
      <c r="R36" s="13"/>
      <c r="S36" s="13"/>
      <c r="T36" s="9"/>
      <c r="U36" s="9"/>
      <c r="V36" s="22" t="s">
        <v>0</v>
      </c>
      <c r="AK36" s="3"/>
      <c r="AL36" s="2"/>
      <c r="AO36" s="2"/>
    </row>
    <row r="37" spans="2:41" ht="16.5">
      <c r="B37" s="39" t="s">
        <v>46</v>
      </c>
      <c r="C37" s="9" t="s">
        <v>47</v>
      </c>
      <c r="D37" s="10"/>
      <c r="E37" s="10"/>
      <c r="F37" s="10"/>
      <c r="G37" s="10"/>
      <c r="H37" s="10"/>
      <c r="I37" s="10"/>
      <c r="J37" s="10"/>
      <c r="O37" s="31"/>
      <c r="P37" s="34"/>
      <c r="Q37" s="34"/>
      <c r="R37" s="11" t="s">
        <v>35</v>
      </c>
      <c r="S37" s="12">
        <f>MINA((P38+P39),P43)</f>
        <v>221.94648</v>
      </c>
      <c r="T37" s="9" t="s">
        <v>41</v>
      </c>
      <c r="U37" s="9"/>
      <c r="V37" s="22" t="s">
        <v>0</v>
      </c>
      <c r="AK37" s="3"/>
      <c r="AL37" s="2"/>
      <c r="AO37" s="2"/>
    </row>
    <row r="38" spans="2:41" ht="18">
      <c r="B38" s="8"/>
      <c r="C38" s="30" t="s">
        <v>42</v>
      </c>
      <c r="D38" s="31" t="s">
        <v>56</v>
      </c>
      <c r="O38" s="33"/>
      <c r="P38" s="34">
        <f>J19/1000*(J20*VLOOKUP(J22,$W$4:$AD$19,4)-VLOOKUP(J22,W4:AD19,5)*62.4*(J9-J11+J20))</f>
        <v>-47.22699333333334</v>
      </c>
      <c r="Q38" s="31" t="s">
        <v>36</v>
      </c>
      <c r="S38" s="15"/>
      <c r="T38" s="9"/>
      <c r="U38" s="9"/>
      <c r="V38" s="22" t="s">
        <v>0</v>
      </c>
      <c r="AK38" s="3"/>
      <c r="AL38" s="2"/>
      <c r="AO38" s="2"/>
    </row>
    <row r="39" spans="2:41" ht="18">
      <c r="B39" s="8"/>
      <c r="C39" s="30" t="s">
        <v>43</v>
      </c>
      <c r="D39" s="31" t="s">
        <v>48</v>
      </c>
      <c r="O39" s="33"/>
      <c r="P39" s="34">
        <f>MINA(M40,M41+M42)</f>
        <v>398.53485</v>
      </c>
      <c r="Q39" s="31" t="s">
        <v>36</v>
      </c>
      <c r="S39" s="17"/>
      <c r="T39" s="9"/>
      <c r="U39" s="9"/>
      <c r="V39" s="22" t="s">
        <v>0</v>
      </c>
      <c r="Z39" s="1"/>
      <c r="AK39" s="3"/>
      <c r="AL39" s="2"/>
      <c r="AO39" s="2"/>
    </row>
    <row r="40" spans="2:41" ht="18">
      <c r="B40" s="8"/>
      <c r="C40" s="31"/>
      <c r="D40" s="28">
        <v>1</v>
      </c>
      <c r="E40" s="29" t="s">
        <v>57</v>
      </c>
      <c r="L40" s="20"/>
      <c r="M40" s="32">
        <f>(J20-J8)*J19*O19/1000*VLOOKUP(J22,$W$4:$AD$19,8)</f>
        <v>398.53485</v>
      </c>
      <c r="N40" s="29" t="s">
        <v>36</v>
      </c>
      <c r="O40" s="31"/>
      <c r="P40" s="34"/>
      <c r="Q40" s="37"/>
      <c r="S40" s="13"/>
      <c r="T40" s="9"/>
      <c r="U40" s="9"/>
      <c r="V40" s="22" t="s">
        <v>0</v>
      </c>
      <c r="Z40" s="1"/>
      <c r="AK40" s="3"/>
      <c r="AL40" s="2"/>
      <c r="AO40" s="2"/>
    </row>
    <row r="41" spans="3:41" ht="15">
      <c r="C41" s="31"/>
      <c r="D41" s="28">
        <v>2</v>
      </c>
      <c r="E41" s="29" t="s">
        <v>58</v>
      </c>
      <c r="L41" s="20"/>
      <c r="M41" s="59">
        <f>(J20-J8)*O19/1000*2*(J17-J21*2+J18-J21*2)</f>
        <v>502.275</v>
      </c>
      <c r="N41" s="29" t="s">
        <v>36</v>
      </c>
      <c r="O41" s="31"/>
      <c r="P41" s="34"/>
      <c r="Q41" s="31"/>
      <c r="V41" s="22" t="s">
        <v>0</v>
      </c>
      <c r="Z41" s="1"/>
      <c r="AK41" s="3"/>
      <c r="AL41" s="2"/>
      <c r="AO41" s="2"/>
    </row>
    <row r="42" spans="3:41" ht="15">
      <c r="C42" s="31"/>
      <c r="D42" s="28">
        <v>3</v>
      </c>
      <c r="E42" s="29" t="s">
        <v>59</v>
      </c>
      <c r="L42" s="20"/>
      <c r="M42" s="32">
        <f>(J20-J8)*O11/1000*((J17-J21*2)*(J18-J21*2)-VLOOKUP(J22,W4:AD19,5)*J19)</f>
        <v>437.4216944444445</v>
      </c>
      <c r="N42" s="29" t="s">
        <v>36</v>
      </c>
      <c r="O42" s="31"/>
      <c r="P42" s="34"/>
      <c r="Q42" s="31"/>
      <c r="V42" s="22" t="s">
        <v>0</v>
      </c>
      <c r="Z42" s="6"/>
      <c r="AK42" s="3"/>
      <c r="AL42" s="2"/>
      <c r="AO42" s="2"/>
    </row>
    <row r="43" spans="3:41" ht="16.5" customHeight="1">
      <c r="C43" s="30" t="s">
        <v>44</v>
      </c>
      <c r="D43" s="31" t="s">
        <v>60</v>
      </c>
      <c r="O43" s="33"/>
      <c r="P43" s="34">
        <f>J8*J19*VLOOKUP(J22,$W$4:$AD$19,8)*(O15/1000)*144</f>
        <v>221.94648</v>
      </c>
      <c r="Q43" s="31" t="s">
        <v>36</v>
      </c>
      <c r="S43" s="17"/>
      <c r="V43" s="22" t="s">
        <v>0</v>
      </c>
      <c r="Z43" s="5"/>
      <c r="AI43" s="21"/>
      <c r="AJ43" s="2"/>
      <c r="AK43" s="3"/>
      <c r="AL43" s="2"/>
      <c r="AO43" s="2"/>
    </row>
    <row r="44" spans="4:41" ht="16.5" customHeight="1">
      <c r="D44" s="18"/>
      <c r="E44" s="19"/>
      <c r="J44" s="20"/>
      <c r="K44" s="7"/>
      <c r="L44" s="15"/>
      <c r="M44" s="15"/>
      <c r="S44" s="17"/>
      <c r="V44" s="22" t="s">
        <v>0</v>
      </c>
      <c r="Z44" s="2"/>
      <c r="AI44" s="21"/>
      <c r="AJ44" s="2"/>
      <c r="AK44" s="3"/>
      <c r="AL44" s="2"/>
      <c r="AO44" s="2"/>
    </row>
    <row r="45" spans="22:41" ht="16.5" customHeight="1">
      <c r="V45" s="22" t="s">
        <v>0</v>
      </c>
      <c r="Z45" s="2"/>
      <c r="AI45" s="21"/>
      <c r="AJ45" s="2"/>
      <c r="AK45" s="3"/>
      <c r="AL45" s="2"/>
      <c r="AO45" s="2"/>
    </row>
    <row r="46" spans="22:41" ht="16.5" customHeight="1" thickBot="1">
      <c r="V46" s="22" t="s">
        <v>0</v>
      </c>
      <c r="Z46" s="5"/>
      <c r="AI46" s="21"/>
      <c r="AJ46" s="2"/>
      <c r="AK46" s="3"/>
      <c r="AL46" s="2"/>
      <c r="AO46" s="2"/>
    </row>
    <row r="47" spans="4:22" ht="16.5" customHeight="1">
      <c r="D47" s="41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3"/>
      <c r="R47" s="43"/>
      <c r="S47" s="44"/>
      <c r="V47" s="22" t="s">
        <v>0</v>
      </c>
    </row>
    <row r="48" spans="4:22" ht="16.5" customHeight="1">
      <c r="D48" s="45"/>
      <c r="E48" s="46"/>
      <c r="F48" s="46"/>
      <c r="G48" s="46"/>
      <c r="H48" s="47" t="s">
        <v>77</v>
      </c>
      <c r="I48" s="46"/>
      <c r="J48" s="46"/>
      <c r="K48" s="46"/>
      <c r="L48" s="46"/>
      <c r="M48" s="46"/>
      <c r="N48" s="47">
        <f>S37+S31+S29</f>
        <v>894.9324175000002</v>
      </c>
      <c r="O48" s="47" t="s">
        <v>49</v>
      </c>
      <c r="P48" s="47"/>
      <c r="Q48" s="46"/>
      <c r="R48" s="46"/>
      <c r="S48" s="48"/>
      <c r="V48" s="22" t="s">
        <v>0</v>
      </c>
    </row>
    <row r="49" spans="4:22" ht="16.5" customHeight="1">
      <c r="D49" s="45"/>
      <c r="E49" s="47" t="s">
        <v>76</v>
      </c>
      <c r="F49" s="49"/>
      <c r="G49" s="46"/>
      <c r="H49" s="46"/>
      <c r="I49" s="46"/>
      <c r="J49" s="47"/>
      <c r="K49" s="47"/>
      <c r="L49" s="46"/>
      <c r="M49" s="47" t="s">
        <v>50</v>
      </c>
      <c r="N49" s="46"/>
      <c r="O49" s="50"/>
      <c r="P49" s="56" t="s">
        <v>51</v>
      </c>
      <c r="Q49" s="51">
        <f>N48/N50</f>
        <v>1.2021134690249256</v>
      </c>
      <c r="R49" s="47" t="str">
        <f>IF(Q49&gt;=1.2,"  OK","  NG")</f>
        <v>  OK</v>
      </c>
      <c r="S49" s="48"/>
      <c r="V49" s="22" t="s">
        <v>0</v>
      </c>
    </row>
    <row r="50" spans="4:25" ht="16.5" customHeight="1">
      <c r="D50" s="52"/>
      <c r="E50" s="46"/>
      <c r="F50" s="46"/>
      <c r="G50" s="46"/>
      <c r="H50" s="47" t="s">
        <v>75</v>
      </c>
      <c r="I50" s="46"/>
      <c r="J50" s="47"/>
      <c r="K50" s="47"/>
      <c r="L50" s="46"/>
      <c r="M50" s="46"/>
      <c r="N50" s="47">
        <f>S27</f>
        <v>744.4658433333334</v>
      </c>
      <c r="O50" s="47" t="s">
        <v>49</v>
      </c>
      <c r="P50" s="47"/>
      <c r="Q50" s="46"/>
      <c r="R50" s="46"/>
      <c r="S50" s="48"/>
      <c r="V50" s="22" t="s">
        <v>0</v>
      </c>
      <c r="Y50" s="5"/>
    </row>
    <row r="51" spans="4:25" ht="16.5" customHeight="1" thickBot="1"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5"/>
      <c r="V51" s="22" t="s">
        <v>0</v>
      </c>
      <c r="Y51" s="5"/>
    </row>
    <row r="52" spans="4:25" ht="16.5" customHeight="1"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V52" s="22" t="s">
        <v>0</v>
      </c>
      <c r="Y52" s="5"/>
    </row>
    <row r="53" spans="1:25" ht="16.5" customHeight="1">
      <c r="A53" s="10" t="s">
        <v>97</v>
      </c>
      <c r="B53" s="10" t="s">
        <v>97</v>
      </c>
      <c r="C53" s="10" t="s">
        <v>97</v>
      </c>
      <c r="D53" s="10" t="s">
        <v>97</v>
      </c>
      <c r="E53" s="10" t="s">
        <v>97</v>
      </c>
      <c r="F53" s="10" t="s">
        <v>97</v>
      </c>
      <c r="G53" s="10" t="s">
        <v>97</v>
      </c>
      <c r="H53" s="10" t="s">
        <v>97</v>
      </c>
      <c r="I53" s="10" t="s">
        <v>97</v>
      </c>
      <c r="J53" s="10" t="s">
        <v>97</v>
      </c>
      <c r="K53" s="10" t="s">
        <v>97</v>
      </c>
      <c r="L53" s="10" t="s">
        <v>97</v>
      </c>
      <c r="M53" s="10" t="s">
        <v>97</v>
      </c>
      <c r="N53" s="10" t="s">
        <v>97</v>
      </c>
      <c r="O53" s="10" t="s">
        <v>97</v>
      </c>
      <c r="P53" s="10" t="s">
        <v>97</v>
      </c>
      <c r="Q53" s="10" t="s">
        <v>97</v>
      </c>
      <c r="R53" s="10" t="s">
        <v>97</v>
      </c>
      <c r="S53" s="10" t="s">
        <v>97</v>
      </c>
      <c r="T53" s="10" t="s">
        <v>97</v>
      </c>
      <c r="U53" s="10" t="s">
        <v>96</v>
      </c>
      <c r="V53" s="22" t="s">
        <v>0</v>
      </c>
      <c r="Y53" s="5"/>
    </row>
    <row r="54" spans="22:35" ht="16.5" customHeight="1">
      <c r="V54" s="22"/>
      <c r="Z54" s="2"/>
      <c r="AI54" s="2"/>
    </row>
    <row r="55" spans="22:35" ht="15">
      <c r="V55" s="22"/>
      <c r="Z55" s="2"/>
      <c r="AI55" s="2"/>
    </row>
    <row r="56" spans="22:35" ht="15">
      <c r="V56" s="22"/>
      <c r="Z56" s="2"/>
      <c r="AI56" s="2"/>
    </row>
    <row r="57" spans="22:26" ht="15">
      <c r="V57" s="22"/>
      <c r="Z57" s="5"/>
    </row>
    <row r="58" spans="22:35" ht="15">
      <c r="V58" s="22"/>
      <c r="AI58" s="2"/>
    </row>
    <row r="59" spans="22:35" ht="15">
      <c r="V59" s="22"/>
      <c r="AI59" s="2"/>
    </row>
    <row r="60" ht="15">
      <c r="V60" s="22"/>
    </row>
    <row r="61" spans="22:35" ht="15">
      <c r="V61" s="22"/>
      <c r="AI61" s="2"/>
    </row>
    <row r="62" ht="15">
      <c r="V62" s="22"/>
    </row>
    <row r="63" spans="22:35" ht="15">
      <c r="V63" s="22"/>
      <c r="AI63" s="2"/>
    </row>
    <row r="64" ht="15">
      <c r="V64" s="22"/>
    </row>
    <row r="65" spans="27:35" ht="15">
      <c r="AA65" s="2"/>
      <c r="AI65" s="2"/>
    </row>
    <row r="66" spans="27:35" ht="15">
      <c r="AA66" s="2"/>
      <c r="AI66" s="2"/>
    </row>
    <row r="67" spans="27:35" ht="15">
      <c r="AA67" s="2"/>
      <c r="AI67" s="2"/>
    </row>
    <row r="68" ht="15">
      <c r="AA68" s="2"/>
    </row>
    <row r="69" ht="15">
      <c r="AI69" s="2"/>
    </row>
    <row r="70" ht="15">
      <c r="AA70" s="2"/>
    </row>
    <row r="72" spans="5:27" ht="15">
      <c r="E72" s="2"/>
      <c r="AA72" s="2"/>
    </row>
    <row r="76" ht="15">
      <c r="E76" s="2"/>
    </row>
    <row r="105" ht="15">
      <c r="E105" s="10"/>
    </row>
    <row r="107" ht="15">
      <c r="E107" s="10"/>
    </row>
    <row r="110" ht="15">
      <c r="E110" s="15"/>
    </row>
    <row r="111" ht="15">
      <c r="E111" s="15"/>
    </row>
    <row r="112" ht="15">
      <c r="E112" s="15"/>
    </row>
  </sheetData>
  <sheetProtection sheet="1" selectLockedCells="1"/>
  <mergeCells count="1">
    <mergeCell ref="O2:T3"/>
  </mergeCells>
  <conditionalFormatting sqref="R49">
    <cfRule type="cellIs" priority="1" dxfId="1" operator="equal" stopIfTrue="1">
      <formula>"  NG"</formula>
    </cfRule>
  </conditionalFormatting>
  <printOptions/>
  <pageMargins left="0.25" right="0.25" top="0.38" bottom="0.36" header="0.7" footer="0.16"/>
  <pageSetup fitToHeight="1" fitToWidth="1" horizontalDpi="600" verticalDpi="600" orientation="portrait" scale="69" r:id="rId3"/>
  <headerFooter alignWithMargins="0">
    <oddFooter>&amp;L&amp;D&amp;RBBS 148 (Rev. 05/03/17)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JOHNSONMS</dc:creator>
  <cp:keywords/>
  <dc:description/>
  <cp:lastModifiedBy>luigsj</cp:lastModifiedBy>
  <cp:lastPrinted>2017-05-03T16:07:21Z</cp:lastPrinted>
  <dcterms:created xsi:type="dcterms:W3CDTF">2003-01-02T17:43:14Z</dcterms:created>
  <dcterms:modified xsi:type="dcterms:W3CDTF">2017-05-03T16:18:23Z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ShowRepairView">
    <vt:lpwstr/>
  </property>
  <property fmtid="{D5CDD505-2E9C-101B-9397-08002B2CF9AE}" pid="4" name="ShowCombineView">
    <vt:lpwstr/>
  </property>
  <property fmtid="{D5CDD505-2E9C-101B-9397-08002B2CF9AE}" pid="5" name="xd_ProgID">
    <vt:lpwstr/>
  </property>
</Properties>
</file>