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0730" windowHeight="11700" firstSheet="6" activeTab="6"/>
  </bookViews>
  <sheets>
    <sheet name="Calc Deflection" sheetId="1" r:id="rId1"/>
    <sheet name="Speed Percentiles" sheetId="2" r:id="rId2"/>
    <sheet name="Angle Percentile" sheetId="3" state="hidden" r:id="rId3"/>
    <sheet name="Do Not Use" sheetId="4" state="hidden" r:id="rId4"/>
    <sheet name="Detailed worksheet" sheetId="5" state="hidden" r:id="rId5"/>
    <sheet name="Rate calculations" sheetId="6" state="hidden" r:id="rId6"/>
    <sheet name="Instructions" sheetId="9" r:id="rId7"/>
    <sheet name="GUIDANCE ON TCB PINNING" sheetId="7" r:id="rId8"/>
    <sheet name="Sheet1" sheetId="8" state="hidden" r:id="rId9"/>
    <sheet name="Sheet2" sheetId="10" state="hidden" r:id="rId10"/>
  </sheets>
  <definedNames>
    <definedName name="_xlnm.Print_Area" localSheetId="7">'GUIDANCE ON TCB PINNING'!$A$2:$S$55</definedName>
    <definedName name="_xlnm.Print_Area" localSheetId="9">Sheet2!$E$3:$M$17</definedName>
  </definedNames>
  <calcPr calcId="145621"/>
</workbook>
</file>

<file path=xl/calcChain.xml><?xml version="1.0" encoding="utf-8"?>
<calcChain xmlns="http://schemas.openxmlformats.org/spreadsheetml/2006/main">
  <c r="W22" i="7" l="1"/>
  <c r="S22" i="7" l="1"/>
  <c r="W17" i="7" l="1"/>
  <c r="W12" i="7"/>
  <c r="W10" i="7"/>
  <c r="W11" i="7"/>
  <c r="W13" i="7"/>
  <c r="S13" i="7"/>
  <c r="S11" i="7"/>
  <c r="S12" i="7"/>
  <c r="S10" i="7"/>
  <c r="S17" i="7"/>
  <c r="S43" i="7" l="1"/>
  <c r="D41" i="6" l="1"/>
  <c r="K25" i="5" l="1"/>
  <c r="K32" i="5" s="1"/>
  <c r="S42" i="7" l="1"/>
  <c r="S40" i="7"/>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C204" i="1"/>
  <c r="C203" i="1"/>
  <c r="C200" i="1"/>
  <c r="C199" i="1"/>
  <c r="C196" i="1"/>
  <c r="C195" i="1"/>
  <c r="C192" i="1"/>
  <c r="C191" i="1"/>
  <c r="C188" i="1"/>
  <c r="C187" i="1"/>
  <c r="C184" i="1"/>
  <c r="C183" i="1"/>
  <c r="C180" i="1"/>
  <c r="C179" i="1"/>
  <c r="C176" i="1"/>
  <c r="C175" i="1"/>
  <c r="C172" i="1"/>
  <c r="C171" i="1"/>
  <c r="C168" i="1"/>
  <c r="C167" i="1"/>
  <c r="C164" i="1"/>
  <c r="C163" i="1"/>
  <c r="C160" i="1"/>
  <c r="C159" i="1"/>
  <c r="C156" i="1"/>
  <c r="C155" i="1"/>
  <c r="C152" i="1"/>
  <c r="C151" i="1"/>
  <c r="C148" i="1"/>
  <c r="C147" i="1"/>
  <c r="C144" i="1"/>
  <c r="C143" i="1"/>
  <c r="C140" i="1"/>
  <c r="C139" i="1"/>
  <c r="C136" i="1"/>
  <c r="C135" i="1"/>
  <c r="C132" i="1"/>
  <c r="C131" i="1"/>
  <c r="C128" i="1"/>
  <c r="C127" i="1"/>
  <c r="C124" i="1"/>
  <c r="C123" i="1"/>
  <c r="C120" i="1"/>
  <c r="C119" i="1"/>
  <c r="C116" i="1"/>
  <c r="C115" i="1"/>
  <c r="C112" i="1"/>
  <c r="C111" i="1"/>
  <c r="C108" i="1"/>
  <c r="C107" i="1"/>
  <c r="C104" i="1"/>
  <c r="C103" i="1"/>
  <c r="C100" i="1"/>
  <c r="C99" i="1"/>
  <c r="C96" i="1"/>
  <c r="C95" i="1"/>
  <c r="C92" i="1"/>
  <c r="C91" i="1"/>
  <c r="C88" i="1"/>
  <c r="C8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3" i="1"/>
  <c r="J85" i="1"/>
  <c r="J80" i="1"/>
  <c r="J82" i="1"/>
  <c r="J79" i="1"/>
  <c r="J77" i="1"/>
  <c r="J76" i="1"/>
  <c r="J84" i="1"/>
  <c r="J81" i="1"/>
  <c r="J75" i="1"/>
  <c r="J78" i="1"/>
  <c r="J73" i="1"/>
  <c r="J72" i="1"/>
  <c r="J74" i="1"/>
  <c r="J70" i="1"/>
  <c r="J71" i="1"/>
  <c r="J69" i="1"/>
  <c r="J68" i="1"/>
  <c r="J65" i="1"/>
  <c r="J67" i="1"/>
  <c r="J62" i="1"/>
  <c r="J64" i="1"/>
  <c r="J61" i="1"/>
  <c r="J59" i="1"/>
  <c r="J58" i="1"/>
  <c r="J66" i="1"/>
  <c r="J63" i="1"/>
  <c r="J57" i="1"/>
  <c r="J60" i="1"/>
  <c r="J55" i="1"/>
  <c r="J54" i="1"/>
  <c r="J56" i="1"/>
  <c r="J52" i="1"/>
  <c r="J53" i="1"/>
  <c r="J51" i="1"/>
  <c r="J50" i="1"/>
  <c r="J47" i="1"/>
  <c r="J49" i="1"/>
  <c r="J44" i="1"/>
  <c r="J46" i="1"/>
  <c r="J43" i="1"/>
  <c r="J41" i="1"/>
  <c r="J40" i="1"/>
  <c r="J48" i="1"/>
  <c r="J45" i="1"/>
  <c r="J39" i="1"/>
  <c r="J42" i="1"/>
  <c r="J37" i="1"/>
  <c r="J36" i="1"/>
  <c r="J38" i="1"/>
  <c r="J34" i="1"/>
  <c r="J35" i="1"/>
  <c r="J33" i="1"/>
  <c r="J32" i="1"/>
  <c r="J29" i="1"/>
  <c r="J31" i="1"/>
  <c r="J26" i="1"/>
  <c r="J28" i="1"/>
  <c r="J25" i="1"/>
  <c r="J23" i="1"/>
  <c r="J22" i="1"/>
  <c r="J30" i="1"/>
  <c r="J27" i="1"/>
  <c r="J21" i="1"/>
  <c r="J24" i="1"/>
  <c r="J19" i="1"/>
  <c r="J18" i="1"/>
  <c r="J20" i="1"/>
  <c r="J16" i="1"/>
  <c r="J17" i="1"/>
  <c r="J15" i="1"/>
  <c r="F206" i="1"/>
  <c r="C206" i="1" s="1"/>
  <c r="F205" i="1"/>
  <c r="C205" i="1" s="1"/>
  <c r="F204" i="1"/>
  <c r="F203" i="1"/>
  <c r="F202" i="1"/>
  <c r="C202" i="1" s="1"/>
  <c r="F201" i="1"/>
  <c r="C201" i="1" s="1"/>
  <c r="F200" i="1"/>
  <c r="F199" i="1"/>
  <c r="F198" i="1"/>
  <c r="C198" i="1" s="1"/>
  <c r="F197" i="1"/>
  <c r="C197" i="1" s="1"/>
  <c r="F196" i="1"/>
  <c r="F195" i="1"/>
  <c r="F194" i="1"/>
  <c r="C194" i="1" s="1"/>
  <c r="F193" i="1"/>
  <c r="C193" i="1" s="1"/>
  <c r="F192" i="1"/>
  <c r="F191" i="1"/>
  <c r="F190" i="1"/>
  <c r="C190" i="1" s="1"/>
  <c r="F189" i="1"/>
  <c r="C189" i="1" s="1"/>
  <c r="F188" i="1"/>
  <c r="F187" i="1"/>
  <c r="F186" i="1"/>
  <c r="C186" i="1" s="1"/>
  <c r="F185" i="1"/>
  <c r="C185" i="1" s="1"/>
  <c r="F184" i="1"/>
  <c r="F183" i="1"/>
  <c r="F182" i="1"/>
  <c r="C182" i="1" s="1"/>
  <c r="F181" i="1"/>
  <c r="C181" i="1" s="1"/>
  <c r="F180" i="1"/>
  <c r="F179" i="1"/>
  <c r="F178" i="1"/>
  <c r="C178" i="1" s="1"/>
  <c r="F177" i="1"/>
  <c r="C177" i="1" s="1"/>
  <c r="F176" i="1"/>
  <c r="F175" i="1"/>
  <c r="F174" i="1"/>
  <c r="C174" i="1" s="1"/>
  <c r="F173" i="1"/>
  <c r="C173" i="1" s="1"/>
  <c r="F172" i="1"/>
  <c r="F171" i="1"/>
  <c r="F170" i="1"/>
  <c r="C170" i="1" s="1"/>
  <c r="F169" i="1"/>
  <c r="C169" i="1" s="1"/>
  <c r="F168" i="1"/>
  <c r="F167" i="1"/>
  <c r="F166" i="1"/>
  <c r="C166" i="1" s="1"/>
  <c r="F165" i="1"/>
  <c r="C165" i="1" s="1"/>
  <c r="F164" i="1"/>
  <c r="F163" i="1"/>
  <c r="F162" i="1"/>
  <c r="C162" i="1" s="1"/>
  <c r="F161" i="1"/>
  <c r="C161" i="1" s="1"/>
  <c r="F160" i="1"/>
  <c r="F159" i="1"/>
  <c r="F158" i="1"/>
  <c r="C158" i="1" s="1"/>
  <c r="F157" i="1"/>
  <c r="C157" i="1" s="1"/>
  <c r="F156" i="1"/>
  <c r="F155" i="1"/>
  <c r="F154" i="1"/>
  <c r="C154" i="1" s="1"/>
  <c r="F153" i="1"/>
  <c r="C153" i="1" s="1"/>
  <c r="F152" i="1"/>
  <c r="F151" i="1"/>
  <c r="F150" i="1"/>
  <c r="C150" i="1" s="1"/>
  <c r="F149" i="1"/>
  <c r="C149" i="1" s="1"/>
  <c r="F148" i="1"/>
  <c r="F147" i="1"/>
  <c r="F146" i="1"/>
  <c r="C146" i="1" s="1"/>
  <c r="F145" i="1"/>
  <c r="C145" i="1" s="1"/>
  <c r="F144" i="1"/>
  <c r="F143" i="1"/>
  <c r="F142" i="1"/>
  <c r="C142" i="1" s="1"/>
  <c r="F141" i="1"/>
  <c r="C141" i="1" s="1"/>
  <c r="F140" i="1"/>
  <c r="F139" i="1"/>
  <c r="F138" i="1"/>
  <c r="C138" i="1" s="1"/>
  <c r="F137" i="1"/>
  <c r="C137" i="1" s="1"/>
  <c r="F136" i="1"/>
  <c r="F135" i="1"/>
  <c r="F134" i="1"/>
  <c r="C134" i="1" s="1"/>
  <c r="F133" i="1"/>
  <c r="C133" i="1" s="1"/>
  <c r="F132" i="1"/>
  <c r="F131" i="1"/>
  <c r="F130" i="1"/>
  <c r="C130" i="1" s="1"/>
  <c r="F129" i="1"/>
  <c r="C129" i="1" s="1"/>
  <c r="F128" i="1"/>
  <c r="F127" i="1"/>
  <c r="F126" i="1"/>
  <c r="C126" i="1" s="1"/>
  <c r="F125" i="1"/>
  <c r="C125" i="1" s="1"/>
  <c r="F124" i="1"/>
  <c r="F123" i="1"/>
  <c r="F122" i="1"/>
  <c r="C122" i="1" s="1"/>
  <c r="F121" i="1"/>
  <c r="C121" i="1" s="1"/>
  <c r="F120" i="1"/>
  <c r="F119" i="1"/>
  <c r="F118" i="1"/>
  <c r="C118" i="1" s="1"/>
  <c r="F117" i="1"/>
  <c r="C117" i="1" s="1"/>
  <c r="F116" i="1"/>
  <c r="F115" i="1"/>
  <c r="F114" i="1"/>
  <c r="C114" i="1" s="1"/>
  <c r="F113" i="1"/>
  <c r="C113" i="1" s="1"/>
  <c r="F112" i="1"/>
  <c r="F111" i="1"/>
  <c r="F110" i="1"/>
  <c r="C110" i="1" s="1"/>
  <c r="F109" i="1"/>
  <c r="C109" i="1" s="1"/>
  <c r="F108" i="1"/>
  <c r="F107" i="1"/>
  <c r="F106" i="1"/>
  <c r="C106" i="1" s="1"/>
  <c r="F105" i="1"/>
  <c r="C105" i="1" s="1"/>
  <c r="F104" i="1"/>
  <c r="F103" i="1"/>
  <c r="F102" i="1"/>
  <c r="C102" i="1" s="1"/>
  <c r="F101" i="1"/>
  <c r="C101" i="1" s="1"/>
  <c r="F100" i="1"/>
  <c r="F99" i="1"/>
  <c r="F98" i="1"/>
  <c r="C98" i="1" s="1"/>
  <c r="F97" i="1"/>
  <c r="C97" i="1" s="1"/>
  <c r="F96" i="1"/>
  <c r="F95" i="1"/>
  <c r="F94" i="1"/>
  <c r="C94" i="1" s="1"/>
  <c r="F93" i="1"/>
  <c r="C93" i="1" s="1"/>
  <c r="F92" i="1"/>
  <c r="F91" i="1"/>
  <c r="F90" i="1"/>
  <c r="C90" i="1" s="1"/>
  <c r="F89" i="1"/>
  <c r="C89" i="1" s="1"/>
  <c r="F88" i="1"/>
  <c r="F87" i="1"/>
  <c r="F86" i="1"/>
  <c r="C86" i="1" s="1"/>
  <c r="F83" i="1"/>
  <c r="C83" i="1" s="1"/>
  <c r="F85" i="1"/>
  <c r="C85" i="1" s="1"/>
  <c r="F80" i="1"/>
  <c r="C80" i="1" s="1"/>
  <c r="F82" i="1"/>
  <c r="C82" i="1" s="1"/>
  <c r="F79" i="1"/>
  <c r="C79" i="1" s="1"/>
  <c r="F77" i="1"/>
  <c r="C77" i="1" s="1"/>
  <c r="F76" i="1"/>
  <c r="C76" i="1" s="1"/>
  <c r="F84" i="1"/>
  <c r="C84" i="1" s="1"/>
  <c r="F81" i="1"/>
  <c r="C81" i="1" s="1"/>
  <c r="F75" i="1"/>
  <c r="C75" i="1" s="1"/>
  <c r="F78" i="1"/>
  <c r="C78" i="1" s="1"/>
  <c r="F73" i="1"/>
  <c r="C73" i="1" s="1"/>
  <c r="F72" i="1"/>
  <c r="C72" i="1" s="1"/>
  <c r="F74" i="1"/>
  <c r="C74" i="1" s="1"/>
  <c r="F70" i="1"/>
  <c r="C70" i="1" s="1"/>
  <c r="F71" i="1"/>
  <c r="C71" i="1" s="1"/>
  <c r="F69" i="1"/>
  <c r="C69" i="1" s="1"/>
  <c r="F68" i="1"/>
  <c r="C68" i="1" s="1"/>
  <c r="F65" i="1"/>
  <c r="C65" i="1" s="1"/>
  <c r="F67" i="1"/>
  <c r="C67" i="1" s="1"/>
  <c r="F62" i="1"/>
  <c r="C62" i="1" s="1"/>
  <c r="F64" i="1"/>
  <c r="C64" i="1" s="1"/>
  <c r="F61" i="1"/>
  <c r="C61" i="1" s="1"/>
  <c r="F59" i="1"/>
  <c r="C59" i="1" s="1"/>
  <c r="F58" i="1"/>
  <c r="C58" i="1" s="1"/>
  <c r="F66" i="1"/>
  <c r="C66" i="1" s="1"/>
  <c r="F63" i="1"/>
  <c r="C63" i="1" s="1"/>
  <c r="F57" i="1"/>
  <c r="C57" i="1" s="1"/>
  <c r="F60" i="1"/>
  <c r="C60" i="1" s="1"/>
  <c r="F55" i="1"/>
  <c r="C55" i="1" s="1"/>
  <c r="F54" i="1"/>
  <c r="C54" i="1" s="1"/>
  <c r="F56" i="1"/>
  <c r="C56" i="1" s="1"/>
  <c r="F52" i="1"/>
  <c r="C52" i="1" s="1"/>
  <c r="F53" i="1"/>
  <c r="C53" i="1" s="1"/>
  <c r="F51" i="1"/>
  <c r="C51" i="1" s="1"/>
  <c r="F50" i="1"/>
  <c r="C50" i="1" s="1"/>
  <c r="F47" i="1"/>
  <c r="C47" i="1" s="1"/>
  <c r="F49" i="1"/>
  <c r="C49" i="1" s="1"/>
  <c r="F44" i="1"/>
  <c r="C44" i="1" s="1"/>
  <c r="F46" i="1"/>
  <c r="C46" i="1" s="1"/>
  <c r="F43" i="1"/>
  <c r="C43" i="1" s="1"/>
  <c r="F41" i="1"/>
  <c r="C41" i="1" s="1"/>
  <c r="F40" i="1"/>
  <c r="C40" i="1" s="1"/>
  <c r="F48" i="1"/>
  <c r="C48" i="1" s="1"/>
  <c r="F45" i="1"/>
  <c r="C45" i="1" s="1"/>
  <c r="F39" i="1"/>
  <c r="C39" i="1" s="1"/>
  <c r="F42" i="1"/>
  <c r="C42" i="1" s="1"/>
  <c r="F37" i="1"/>
  <c r="C37" i="1" s="1"/>
  <c r="F36" i="1"/>
  <c r="C36" i="1" s="1"/>
  <c r="F38" i="1"/>
  <c r="C38" i="1" s="1"/>
  <c r="F34" i="1"/>
  <c r="C34" i="1" s="1"/>
  <c r="F35" i="1"/>
  <c r="C35" i="1" s="1"/>
  <c r="F33" i="1"/>
  <c r="C33" i="1" s="1"/>
  <c r="F32" i="1"/>
  <c r="C32" i="1" s="1"/>
  <c r="F29" i="1"/>
  <c r="C29" i="1" s="1"/>
  <c r="F31" i="1"/>
  <c r="C31" i="1" s="1"/>
  <c r="F26" i="1"/>
  <c r="C26" i="1" s="1"/>
  <c r="F28" i="1"/>
  <c r="C28" i="1" s="1"/>
  <c r="F25" i="1"/>
  <c r="C25" i="1" s="1"/>
  <c r="F23" i="1"/>
  <c r="C23" i="1" s="1"/>
  <c r="F22" i="1"/>
  <c r="C22" i="1" s="1"/>
  <c r="F30" i="1"/>
  <c r="C30" i="1" s="1"/>
  <c r="F27" i="1"/>
  <c r="C27" i="1" s="1"/>
  <c r="F21" i="1"/>
  <c r="C21" i="1" s="1"/>
  <c r="F24" i="1"/>
  <c r="C24" i="1" s="1"/>
  <c r="F19" i="1"/>
  <c r="C19" i="1" s="1"/>
  <c r="F18" i="1"/>
  <c r="C18" i="1" s="1"/>
  <c r="F20" i="1"/>
  <c r="C20" i="1" s="1"/>
  <c r="F16" i="1"/>
  <c r="C16" i="1" s="1"/>
  <c r="F17" i="1"/>
  <c r="C17" i="1" s="1"/>
  <c r="F15" i="1"/>
  <c r="C15" i="1" s="1"/>
  <c r="E41" i="6" l="1"/>
  <c r="E27" i="6"/>
  <c r="D47" i="7"/>
  <c r="O36" i="7" l="1"/>
  <c r="S45" i="7"/>
  <c r="S44" i="7"/>
  <c r="S41" i="7"/>
  <c r="O25" i="7" l="1"/>
  <c r="D50" i="6"/>
  <c r="D49" i="6"/>
  <c r="D48" i="6"/>
  <c r="D47" i="6"/>
  <c r="D46" i="6"/>
  <c r="D45" i="6"/>
  <c r="D44" i="6"/>
  <c r="D43" i="6"/>
  <c r="D42" i="6"/>
  <c r="J50" i="6"/>
  <c r="I50" i="6"/>
  <c r="H50" i="6"/>
  <c r="G50" i="6"/>
  <c r="F50" i="6"/>
  <c r="E50" i="6"/>
  <c r="J49" i="6"/>
  <c r="I49" i="6"/>
  <c r="H49" i="6"/>
  <c r="G49" i="6"/>
  <c r="F49" i="6"/>
  <c r="E49" i="6"/>
  <c r="J48" i="6"/>
  <c r="I48" i="6"/>
  <c r="H48" i="6"/>
  <c r="G48" i="6"/>
  <c r="F48" i="6"/>
  <c r="E48" i="6"/>
  <c r="J47" i="6"/>
  <c r="I47" i="6"/>
  <c r="H47" i="6"/>
  <c r="G47" i="6"/>
  <c r="F47" i="6"/>
  <c r="E47" i="6"/>
  <c r="J46" i="6"/>
  <c r="I46" i="6"/>
  <c r="H46" i="6"/>
  <c r="G46" i="6"/>
  <c r="F46" i="6"/>
  <c r="E46" i="6"/>
  <c r="J45" i="6"/>
  <c r="I45" i="6"/>
  <c r="H45" i="6"/>
  <c r="G45" i="6"/>
  <c r="F45" i="6"/>
  <c r="E45" i="6"/>
  <c r="J44" i="6"/>
  <c r="I44" i="6"/>
  <c r="H44" i="6"/>
  <c r="G44" i="6"/>
  <c r="F44" i="6"/>
  <c r="E44" i="6"/>
  <c r="J43" i="6"/>
  <c r="I43" i="6"/>
  <c r="H43" i="6"/>
  <c r="G43" i="6"/>
  <c r="F43" i="6"/>
  <c r="E43" i="6"/>
  <c r="J42" i="6"/>
  <c r="I42" i="6"/>
  <c r="H42" i="6"/>
  <c r="G42" i="6"/>
  <c r="F42" i="6"/>
  <c r="E42" i="6"/>
  <c r="J41" i="6"/>
  <c r="I41" i="6"/>
  <c r="H41" i="6"/>
  <c r="G41" i="6"/>
  <c r="F41" i="6"/>
  <c r="E36" i="6"/>
  <c r="E35" i="6"/>
  <c r="E34" i="6"/>
  <c r="E33" i="6"/>
  <c r="E32" i="6"/>
  <c r="E31" i="6"/>
  <c r="E30" i="6"/>
  <c r="E29" i="6"/>
  <c r="E28" i="6"/>
  <c r="J36" i="6"/>
  <c r="I36" i="6"/>
  <c r="H36" i="6"/>
  <c r="G36" i="6"/>
  <c r="F36" i="6"/>
  <c r="J35" i="6"/>
  <c r="I35" i="6"/>
  <c r="H35" i="6"/>
  <c r="G35" i="6"/>
  <c r="F35" i="6"/>
  <c r="J34" i="6"/>
  <c r="I34" i="6"/>
  <c r="H34" i="6"/>
  <c r="G34" i="6"/>
  <c r="F34" i="6"/>
  <c r="J33" i="6"/>
  <c r="I33" i="6"/>
  <c r="H33" i="6"/>
  <c r="G33" i="6"/>
  <c r="F33" i="6"/>
  <c r="J32" i="6"/>
  <c r="I32" i="6"/>
  <c r="H32" i="6"/>
  <c r="G32" i="6"/>
  <c r="F32" i="6"/>
  <c r="J31" i="6"/>
  <c r="I31" i="6"/>
  <c r="H31" i="6"/>
  <c r="G31" i="6"/>
  <c r="F31" i="6"/>
  <c r="J30" i="6"/>
  <c r="I30" i="6"/>
  <c r="H30" i="6"/>
  <c r="G30" i="6"/>
  <c r="F30" i="6"/>
  <c r="J29" i="6"/>
  <c r="I29" i="6"/>
  <c r="H29" i="6"/>
  <c r="G29" i="6"/>
  <c r="F29" i="6"/>
  <c r="J28" i="6"/>
  <c r="I28" i="6"/>
  <c r="H28" i="6"/>
  <c r="G28" i="6"/>
  <c r="F28" i="6"/>
  <c r="J27" i="6"/>
  <c r="I27" i="6"/>
  <c r="H27" i="6"/>
  <c r="G27" i="6"/>
  <c r="F27" i="6"/>
  <c r="O26" i="7" l="1"/>
  <c r="O34" i="7" s="1"/>
  <c r="S34" i="7" s="1"/>
  <c r="K27" i="5"/>
  <c r="O23" i="7" l="1"/>
  <c r="O32" i="7" s="1"/>
  <c r="S36" i="7" s="1"/>
  <c r="O30" i="7"/>
  <c r="S30" i="7" s="1"/>
  <c r="K30" i="5"/>
  <c r="K29" i="5"/>
  <c r="K28" i="5"/>
  <c r="M6" i="5"/>
  <c r="M5" i="5"/>
  <c r="M4" i="5"/>
  <c r="M3" i="5"/>
  <c r="G9" i="5"/>
  <c r="G8" i="5"/>
  <c r="G7" i="5"/>
  <c r="K3" i="5" s="1"/>
  <c r="O28" i="7" l="1"/>
  <c r="K5" i="5"/>
  <c r="K4" i="5"/>
  <c r="K6" i="5"/>
  <c r="K33" i="5"/>
  <c r="K34" i="5" s="1"/>
  <c r="L3" i="5" s="1"/>
  <c r="O11" i="4"/>
  <c r="O10" i="4"/>
  <c r="O9" i="4"/>
  <c r="O8" i="4"/>
  <c r="O7" i="4"/>
  <c r="O6" i="4"/>
  <c r="I10" i="4"/>
  <c r="I9" i="4"/>
  <c r="I8" i="4"/>
  <c r="I7" i="4"/>
  <c r="I6" i="4"/>
  <c r="L72" i="1"/>
  <c r="K72" i="1"/>
  <c r="H72" i="1"/>
  <c r="G72" i="1" s="1"/>
  <c r="L70" i="1"/>
  <c r="K70" i="1"/>
  <c r="H70" i="1"/>
  <c r="G70" i="1" s="1"/>
  <c r="L69" i="1"/>
  <c r="K69" i="1"/>
  <c r="H69" i="1"/>
  <c r="G69" i="1" s="1"/>
  <c r="L75" i="1"/>
  <c r="K75" i="1"/>
  <c r="H75" i="1"/>
  <c r="G75" i="1" s="1"/>
  <c r="L73" i="1"/>
  <c r="K73" i="1"/>
  <c r="H73" i="1"/>
  <c r="G73" i="1" s="1"/>
  <c r="L71" i="1"/>
  <c r="K71" i="1"/>
  <c r="H71" i="1"/>
  <c r="G71" i="1" s="1"/>
  <c r="L77" i="1"/>
  <c r="K77" i="1"/>
  <c r="H77" i="1"/>
  <c r="G77" i="1" s="1"/>
  <c r="L76" i="1"/>
  <c r="K76" i="1"/>
  <c r="H76" i="1"/>
  <c r="G76" i="1" s="1"/>
  <c r="L74" i="1"/>
  <c r="K74" i="1"/>
  <c r="H74" i="1"/>
  <c r="G74" i="1" s="1"/>
  <c r="L80" i="1"/>
  <c r="K80" i="1"/>
  <c r="H80" i="1"/>
  <c r="G80" i="1" s="1"/>
  <c r="L79" i="1"/>
  <c r="K79" i="1"/>
  <c r="H79" i="1"/>
  <c r="G79" i="1" s="1"/>
  <c r="L78" i="1"/>
  <c r="K78" i="1"/>
  <c r="H78" i="1"/>
  <c r="G78" i="1" s="1"/>
  <c r="L83" i="1"/>
  <c r="K83" i="1"/>
  <c r="H83" i="1"/>
  <c r="G83" i="1" s="1"/>
  <c r="L82" i="1"/>
  <c r="K82" i="1"/>
  <c r="H82" i="1"/>
  <c r="G82" i="1" s="1"/>
  <c r="L81" i="1"/>
  <c r="K81" i="1"/>
  <c r="H81" i="1"/>
  <c r="G81" i="1" s="1"/>
  <c r="L86" i="1"/>
  <c r="K86" i="1"/>
  <c r="H86" i="1"/>
  <c r="G86" i="1" s="1"/>
  <c r="L85" i="1"/>
  <c r="K85" i="1"/>
  <c r="H85" i="1"/>
  <c r="G85" i="1" s="1"/>
  <c r="L84" i="1"/>
  <c r="K84" i="1"/>
  <c r="H84" i="1"/>
  <c r="G84" i="1" s="1"/>
  <c r="F17" i="2"/>
  <c r="F16" i="2"/>
  <c r="F15" i="2"/>
  <c r="L200" i="1"/>
  <c r="L199" i="1"/>
  <c r="L195" i="1"/>
  <c r="L203" i="1"/>
  <c r="L201" i="1"/>
  <c r="L196" i="1"/>
  <c r="L205" i="1"/>
  <c r="L202" i="1"/>
  <c r="L197" i="1"/>
  <c r="L206" i="1"/>
  <c r="L204" i="1"/>
  <c r="L198" i="1"/>
  <c r="L188" i="1"/>
  <c r="L187" i="1"/>
  <c r="L183" i="1"/>
  <c r="L191" i="1"/>
  <c r="L189" i="1"/>
  <c r="L184" i="1"/>
  <c r="L193" i="1"/>
  <c r="L190" i="1"/>
  <c r="L185" i="1"/>
  <c r="L194" i="1"/>
  <c r="L192" i="1"/>
  <c r="L186" i="1"/>
  <c r="L176" i="1"/>
  <c r="L175" i="1"/>
  <c r="L171" i="1"/>
  <c r="L179" i="1"/>
  <c r="L177" i="1"/>
  <c r="L172" i="1"/>
  <c r="L181" i="1"/>
  <c r="L178" i="1"/>
  <c r="L173" i="1"/>
  <c r="L182" i="1"/>
  <c r="L180" i="1"/>
  <c r="L174" i="1"/>
  <c r="L164" i="1"/>
  <c r="L163" i="1"/>
  <c r="L159" i="1"/>
  <c r="L167" i="1"/>
  <c r="L165" i="1"/>
  <c r="L160" i="1"/>
  <c r="L169" i="1"/>
  <c r="L166" i="1"/>
  <c r="L161" i="1"/>
  <c r="L170" i="1"/>
  <c r="L168" i="1"/>
  <c r="L162" i="1"/>
  <c r="L152" i="1"/>
  <c r="L151" i="1"/>
  <c r="L147" i="1"/>
  <c r="L155" i="1"/>
  <c r="L153" i="1"/>
  <c r="L148" i="1"/>
  <c r="L157" i="1"/>
  <c r="L154" i="1"/>
  <c r="L149" i="1"/>
  <c r="L158" i="1"/>
  <c r="L156" i="1"/>
  <c r="L150" i="1"/>
  <c r="L140" i="1"/>
  <c r="L139" i="1"/>
  <c r="L135" i="1"/>
  <c r="L143" i="1"/>
  <c r="L141" i="1"/>
  <c r="L136" i="1"/>
  <c r="L145" i="1"/>
  <c r="L142" i="1"/>
  <c r="L137" i="1"/>
  <c r="L146" i="1"/>
  <c r="L144" i="1"/>
  <c r="L138" i="1"/>
  <c r="L128" i="1"/>
  <c r="L127" i="1"/>
  <c r="L123" i="1"/>
  <c r="L131" i="1"/>
  <c r="L129" i="1"/>
  <c r="L124" i="1"/>
  <c r="L133" i="1"/>
  <c r="L130" i="1"/>
  <c r="L125" i="1"/>
  <c r="L134" i="1"/>
  <c r="L132" i="1"/>
  <c r="L126" i="1"/>
  <c r="L109" i="1"/>
  <c r="L107" i="1"/>
  <c r="L105" i="1"/>
  <c r="L112" i="1"/>
  <c r="L110" i="1"/>
  <c r="L106" i="1"/>
  <c r="L116" i="1"/>
  <c r="L115" i="1"/>
  <c r="L108" i="1"/>
  <c r="L119" i="1"/>
  <c r="L117" i="1"/>
  <c r="L111" i="1"/>
  <c r="L121" i="1"/>
  <c r="L118" i="1"/>
  <c r="L113" i="1"/>
  <c r="L122" i="1"/>
  <c r="L120" i="1"/>
  <c r="L114" i="1"/>
  <c r="L91" i="1"/>
  <c r="L89" i="1"/>
  <c r="L87" i="1"/>
  <c r="L94" i="1"/>
  <c r="L92" i="1"/>
  <c r="L88" i="1"/>
  <c r="L98" i="1"/>
  <c r="L97" i="1"/>
  <c r="L90" i="1"/>
  <c r="L101" i="1"/>
  <c r="L99" i="1"/>
  <c r="L93" i="1"/>
  <c r="L103" i="1"/>
  <c r="L100" i="1"/>
  <c r="L95" i="1"/>
  <c r="L104" i="1"/>
  <c r="L102" i="1"/>
  <c r="L96" i="1"/>
  <c r="L54" i="1"/>
  <c r="L52" i="1"/>
  <c r="L51" i="1"/>
  <c r="L57" i="1"/>
  <c r="L55" i="1"/>
  <c r="L53" i="1"/>
  <c r="L59" i="1"/>
  <c r="L58" i="1"/>
  <c r="L56" i="1"/>
  <c r="L62" i="1"/>
  <c r="L61" i="1"/>
  <c r="L60" i="1"/>
  <c r="L65" i="1"/>
  <c r="L64" i="1"/>
  <c r="L63" i="1"/>
  <c r="L68" i="1"/>
  <c r="L67" i="1"/>
  <c r="L66" i="1"/>
  <c r="L36" i="1"/>
  <c r="L34" i="1"/>
  <c r="L33" i="1"/>
  <c r="L39" i="1"/>
  <c r="L37" i="1"/>
  <c r="L35" i="1"/>
  <c r="L41" i="1"/>
  <c r="L40" i="1"/>
  <c r="L38" i="1"/>
  <c r="L44" i="1"/>
  <c r="L43" i="1"/>
  <c r="L42" i="1"/>
  <c r="L47" i="1"/>
  <c r="L46" i="1"/>
  <c r="L45" i="1"/>
  <c r="L50" i="1"/>
  <c r="L49" i="1"/>
  <c r="L48" i="1"/>
  <c r="H200" i="1"/>
  <c r="H199" i="1"/>
  <c r="H195" i="1"/>
  <c r="H203" i="1"/>
  <c r="H201" i="1"/>
  <c r="H196" i="1"/>
  <c r="H205" i="1"/>
  <c r="H202" i="1"/>
  <c r="H197" i="1"/>
  <c r="H206" i="1"/>
  <c r="H204" i="1"/>
  <c r="H198" i="1"/>
  <c r="H188" i="1"/>
  <c r="H187" i="1"/>
  <c r="H183" i="1"/>
  <c r="H191" i="1"/>
  <c r="H189" i="1"/>
  <c r="H184" i="1"/>
  <c r="H193" i="1"/>
  <c r="H190" i="1"/>
  <c r="H185" i="1"/>
  <c r="H194" i="1"/>
  <c r="H192" i="1"/>
  <c r="H186" i="1"/>
  <c r="H176" i="1"/>
  <c r="H175" i="1"/>
  <c r="H171" i="1"/>
  <c r="H179" i="1"/>
  <c r="H177" i="1"/>
  <c r="H172" i="1"/>
  <c r="H181" i="1"/>
  <c r="H178" i="1"/>
  <c r="H173" i="1"/>
  <c r="H182" i="1"/>
  <c r="H180" i="1"/>
  <c r="H174" i="1"/>
  <c r="H164" i="1"/>
  <c r="H163" i="1"/>
  <c r="H159" i="1"/>
  <c r="H167" i="1"/>
  <c r="H165" i="1"/>
  <c r="H160" i="1"/>
  <c r="H169" i="1"/>
  <c r="H166" i="1"/>
  <c r="H161" i="1"/>
  <c r="H170" i="1"/>
  <c r="H168" i="1"/>
  <c r="H162" i="1"/>
  <c r="H152" i="1"/>
  <c r="H151" i="1"/>
  <c r="H147" i="1"/>
  <c r="H155" i="1"/>
  <c r="H153" i="1"/>
  <c r="H148" i="1"/>
  <c r="H157" i="1"/>
  <c r="H154" i="1"/>
  <c r="H149" i="1"/>
  <c r="H158" i="1"/>
  <c r="H156" i="1"/>
  <c r="H150" i="1"/>
  <c r="H140" i="1"/>
  <c r="H139" i="1"/>
  <c r="H135" i="1"/>
  <c r="H143" i="1"/>
  <c r="H141" i="1"/>
  <c r="H136" i="1"/>
  <c r="H145" i="1"/>
  <c r="H142" i="1"/>
  <c r="H137" i="1"/>
  <c r="H146" i="1"/>
  <c r="H144" i="1"/>
  <c r="H138" i="1"/>
  <c r="H128" i="1"/>
  <c r="H127" i="1"/>
  <c r="H123" i="1"/>
  <c r="H131" i="1"/>
  <c r="H129" i="1"/>
  <c r="H124" i="1"/>
  <c r="H133" i="1"/>
  <c r="H130" i="1"/>
  <c r="H125" i="1"/>
  <c r="H134" i="1"/>
  <c r="H132" i="1"/>
  <c r="H126" i="1"/>
  <c r="H109" i="1"/>
  <c r="H107" i="1"/>
  <c r="H105" i="1"/>
  <c r="H112" i="1"/>
  <c r="H110" i="1"/>
  <c r="H106" i="1"/>
  <c r="H116" i="1"/>
  <c r="H115" i="1"/>
  <c r="H108" i="1"/>
  <c r="H119" i="1"/>
  <c r="H117" i="1"/>
  <c r="H111" i="1"/>
  <c r="H121" i="1"/>
  <c r="H118" i="1"/>
  <c r="H113" i="1"/>
  <c r="H122" i="1"/>
  <c r="H120" i="1"/>
  <c r="H114" i="1"/>
  <c r="H91" i="1"/>
  <c r="H89" i="1"/>
  <c r="H87" i="1"/>
  <c r="H94" i="1"/>
  <c r="H92" i="1"/>
  <c r="H88" i="1"/>
  <c r="H98" i="1"/>
  <c r="H97" i="1"/>
  <c r="H90" i="1"/>
  <c r="H101" i="1"/>
  <c r="H99" i="1"/>
  <c r="H93" i="1"/>
  <c r="H103" i="1"/>
  <c r="H100" i="1"/>
  <c r="H95" i="1"/>
  <c r="H104" i="1"/>
  <c r="H102" i="1"/>
  <c r="H96" i="1"/>
  <c r="H54" i="1"/>
  <c r="G54" i="1" s="1"/>
  <c r="H52" i="1"/>
  <c r="G52" i="1" s="1"/>
  <c r="H51" i="1"/>
  <c r="G51" i="1" s="1"/>
  <c r="H57" i="1"/>
  <c r="G57" i="1" s="1"/>
  <c r="H55" i="1"/>
  <c r="G55" i="1" s="1"/>
  <c r="H53" i="1"/>
  <c r="G53" i="1" s="1"/>
  <c r="H59" i="1"/>
  <c r="G59" i="1" s="1"/>
  <c r="H58" i="1"/>
  <c r="G58" i="1" s="1"/>
  <c r="H56" i="1"/>
  <c r="G56" i="1" s="1"/>
  <c r="H62" i="1"/>
  <c r="G62" i="1" s="1"/>
  <c r="H61" i="1"/>
  <c r="G61" i="1" s="1"/>
  <c r="H60" i="1"/>
  <c r="G60" i="1" s="1"/>
  <c r="H65" i="1"/>
  <c r="G65" i="1" s="1"/>
  <c r="H64" i="1"/>
  <c r="G64" i="1" s="1"/>
  <c r="H63" i="1"/>
  <c r="G63" i="1" s="1"/>
  <c r="H68" i="1"/>
  <c r="G68" i="1" s="1"/>
  <c r="H67" i="1"/>
  <c r="G67" i="1" s="1"/>
  <c r="H66" i="1"/>
  <c r="G66" i="1" s="1"/>
  <c r="H36" i="1"/>
  <c r="G36" i="1" s="1"/>
  <c r="H34" i="1"/>
  <c r="G34" i="1" s="1"/>
  <c r="H33" i="1"/>
  <c r="G33" i="1" s="1"/>
  <c r="H39" i="1"/>
  <c r="G39" i="1" s="1"/>
  <c r="H37" i="1"/>
  <c r="G37" i="1" s="1"/>
  <c r="H35" i="1"/>
  <c r="G35" i="1" s="1"/>
  <c r="H41" i="1"/>
  <c r="G41" i="1" s="1"/>
  <c r="H40" i="1"/>
  <c r="G40" i="1" s="1"/>
  <c r="H38" i="1"/>
  <c r="G38" i="1" s="1"/>
  <c r="H44" i="1"/>
  <c r="G44" i="1" s="1"/>
  <c r="H43" i="1"/>
  <c r="G43" i="1" s="1"/>
  <c r="H42" i="1"/>
  <c r="G42" i="1" s="1"/>
  <c r="H47" i="1"/>
  <c r="G47" i="1" s="1"/>
  <c r="H46" i="1"/>
  <c r="G46" i="1" s="1"/>
  <c r="H45" i="1"/>
  <c r="G45" i="1" s="1"/>
  <c r="H50" i="1"/>
  <c r="G50" i="1" s="1"/>
  <c r="H49" i="1"/>
  <c r="G49" i="1" s="1"/>
  <c r="H48" i="1"/>
  <c r="G48" i="1" s="1"/>
  <c r="H18" i="1"/>
  <c r="G18" i="1" s="1"/>
  <c r="H16" i="1"/>
  <c r="G16" i="1" s="1"/>
  <c r="H15" i="1"/>
  <c r="G15" i="1" s="1"/>
  <c r="H21" i="1"/>
  <c r="G21" i="1" s="1"/>
  <c r="H19" i="1"/>
  <c r="G19" i="1" s="1"/>
  <c r="H17" i="1"/>
  <c r="G17" i="1" s="1"/>
  <c r="H23" i="1"/>
  <c r="G23" i="1" s="1"/>
  <c r="H22" i="1"/>
  <c r="G22" i="1" s="1"/>
  <c r="H20" i="1"/>
  <c r="G20" i="1" s="1"/>
  <c r="H26" i="1"/>
  <c r="G26" i="1" s="1"/>
  <c r="H25" i="1"/>
  <c r="G25" i="1" s="1"/>
  <c r="H24" i="1"/>
  <c r="G24" i="1" s="1"/>
  <c r="H29" i="1"/>
  <c r="G29" i="1" s="1"/>
  <c r="H28" i="1"/>
  <c r="G28" i="1" s="1"/>
  <c r="H27" i="1"/>
  <c r="G27" i="1" s="1"/>
  <c r="H32" i="1"/>
  <c r="G32" i="1" s="1"/>
  <c r="H31" i="1"/>
  <c r="G31" i="1" s="1"/>
  <c r="H30" i="1"/>
  <c r="G30" i="1" s="1"/>
  <c r="K200" i="1"/>
  <c r="K199" i="1"/>
  <c r="K195" i="1"/>
  <c r="K203" i="1"/>
  <c r="K201" i="1"/>
  <c r="K196" i="1"/>
  <c r="K205" i="1"/>
  <c r="K202" i="1"/>
  <c r="K197" i="1"/>
  <c r="K206" i="1"/>
  <c r="K204" i="1"/>
  <c r="K198" i="1"/>
  <c r="K188" i="1"/>
  <c r="K187" i="1"/>
  <c r="K183" i="1"/>
  <c r="K191" i="1"/>
  <c r="K189" i="1"/>
  <c r="K184" i="1"/>
  <c r="K193" i="1"/>
  <c r="K190" i="1"/>
  <c r="K185" i="1"/>
  <c r="K194" i="1"/>
  <c r="K192" i="1"/>
  <c r="K186" i="1"/>
  <c r="K176" i="1"/>
  <c r="K175" i="1"/>
  <c r="K171" i="1"/>
  <c r="K179" i="1"/>
  <c r="K177" i="1"/>
  <c r="K172" i="1"/>
  <c r="K181" i="1"/>
  <c r="K178" i="1"/>
  <c r="K173" i="1"/>
  <c r="K182" i="1"/>
  <c r="K180" i="1"/>
  <c r="K174" i="1"/>
  <c r="K164" i="1"/>
  <c r="K163" i="1"/>
  <c r="K159" i="1"/>
  <c r="K167" i="1"/>
  <c r="K165" i="1"/>
  <c r="K160" i="1"/>
  <c r="K169" i="1"/>
  <c r="K166" i="1"/>
  <c r="K161" i="1"/>
  <c r="K170" i="1"/>
  <c r="K168" i="1"/>
  <c r="K162" i="1"/>
  <c r="K152" i="1"/>
  <c r="K151" i="1"/>
  <c r="K147" i="1"/>
  <c r="K155" i="1"/>
  <c r="K153" i="1"/>
  <c r="K148" i="1"/>
  <c r="K157" i="1"/>
  <c r="K154" i="1"/>
  <c r="K149" i="1"/>
  <c r="K158" i="1"/>
  <c r="K156" i="1"/>
  <c r="K150" i="1"/>
  <c r="K140" i="1"/>
  <c r="K139" i="1"/>
  <c r="K135" i="1"/>
  <c r="K143" i="1"/>
  <c r="K141" i="1"/>
  <c r="K136" i="1"/>
  <c r="K145" i="1"/>
  <c r="K142" i="1"/>
  <c r="K137" i="1"/>
  <c r="K146" i="1"/>
  <c r="K144" i="1"/>
  <c r="K138" i="1"/>
  <c r="K128" i="1"/>
  <c r="K127" i="1"/>
  <c r="K123" i="1"/>
  <c r="K131" i="1"/>
  <c r="K129" i="1"/>
  <c r="K124" i="1"/>
  <c r="K133" i="1"/>
  <c r="K130" i="1"/>
  <c r="K125" i="1"/>
  <c r="K134" i="1"/>
  <c r="K132" i="1"/>
  <c r="K126" i="1"/>
  <c r="K109" i="1"/>
  <c r="K107" i="1"/>
  <c r="K105" i="1"/>
  <c r="K112" i="1"/>
  <c r="K110" i="1"/>
  <c r="K106" i="1"/>
  <c r="K116" i="1"/>
  <c r="K115" i="1"/>
  <c r="K108" i="1"/>
  <c r="K119" i="1"/>
  <c r="K117" i="1"/>
  <c r="K111" i="1"/>
  <c r="K121" i="1"/>
  <c r="K118" i="1"/>
  <c r="K113" i="1"/>
  <c r="K122" i="1"/>
  <c r="K120" i="1"/>
  <c r="K114" i="1"/>
  <c r="K91" i="1"/>
  <c r="K89" i="1"/>
  <c r="K87" i="1"/>
  <c r="K94" i="1"/>
  <c r="K92" i="1"/>
  <c r="K88" i="1"/>
  <c r="K98" i="1"/>
  <c r="K97" i="1"/>
  <c r="K90" i="1"/>
  <c r="K101" i="1"/>
  <c r="K99" i="1"/>
  <c r="K93" i="1"/>
  <c r="K103" i="1"/>
  <c r="K100" i="1"/>
  <c r="K95" i="1"/>
  <c r="K104" i="1"/>
  <c r="K102" i="1"/>
  <c r="K96" i="1"/>
  <c r="K54" i="1"/>
  <c r="K52" i="1"/>
  <c r="K51" i="1"/>
  <c r="K57" i="1"/>
  <c r="K55" i="1"/>
  <c r="K53" i="1"/>
  <c r="K59" i="1"/>
  <c r="K58" i="1"/>
  <c r="K56" i="1"/>
  <c r="K62" i="1"/>
  <c r="K61" i="1"/>
  <c r="K60" i="1"/>
  <c r="K65" i="1"/>
  <c r="K64" i="1"/>
  <c r="K63" i="1"/>
  <c r="K68" i="1"/>
  <c r="K67" i="1"/>
  <c r="K66" i="1"/>
  <c r="K36" i="1"/>
  <c r="K34" i="1"/>
  <c r="K33" i="1"/>
  <c r="K39" i="1"/>
  <c r="K37" i="1"/>
  <c r="K35" i="1"/>
  <c r="K41" i="1"/>
  <c r="K40" i="1"/>
  <c r="K38" i="1"/>
  <c r="K44" i="1"/>
  <c r="K43" i="1"/>
  <c r="K42" i="1"/>
  <c r="K47" i="1"/>
  <c r="K46" i="1"/>
  <c r="K45" i="1"/>
  <c r="K50" i="1"/>
  <c r="K49" i="1"/>
  <c r="K48" i="1"/>
  <c r="L18" i="1"/>
  <c r="K18" i="1"/>
  <c r="L16" i="1"/>
  <c r="K16" i="1"/>
  <c r="M16" i="1" s="1"/>
  <c r="L15" i="1"/>
  <c r="K15" i="1"/>
  <c r="M15" i="1" s="1"/>
  <c r="L21" i="1"/>
  <c r="K21" i="1"/>
  <c r="M21" i="1" s="1"/>
  <c r="L19" i="1"/>
  <c r="K19" i="1"/>
  <c r="L17" i="1"/>
  <c r="K17" i="1"/>
  <c r="M17" i="1" s="1"/>
  <c r="L23" i="1"/>
  <c r="K23" i="1"/>
  <c r="L22" i="1"/>
  <c r="K22" i="1"/>
  <c r="L20" i="1"/>
  <c r="K20" i="1"/>
  <c r="L26" i="1"/>
  <c r="K26" i="1"/>
  <c r="L25" i="1"/>
  <c r="K25" i="1"/>
  <c r="L24" i="1"/>
  <c r="K24" i="1"/>
  <c r="L29" i="1"/>
  <c r="K29" i="1"/>
  <c r="L28" i="1"/>
  <c r="K28" i="1"/>
  <c r="L27" i="1"/>
  <c r="K27" i="1"/>
  <c r="L32" i="1"/>
  <c r="K32" i="1"/>
  <c r="L31" i="1"/>
  <c r="K31" i="1"/>
  <c r="K30" i="1"/>
  <c r="L30" i="1"/>
  <c r="N9" i="5" l="1"/>
  <c r="M20" i="1"/>
  <c r="N20" i="1" s="1"/>
  <c r="M19" i="1"/>
  <c r="M18" i="1"/>
  <c r="L4" i="5"/>
  <c r="L6" i="5"/>
  <c r="L5" i="5"/>
  <c r="M85" i="1"/>
  <c r="N85" i="1" s="1"/>
  <c r="M86" i="1"/>
  <c r="N86" i="1" s="1"/>
  <c r="M81" i="1"/>
  <c r="N81" i="1" s="1"/>
  <c r="M82" i="1"/>
  <c r="N82" i="1" s="1"/>
  <c r="M83" i="1"/>
  <c r="N83" i="1" s="1"/>
  <c r="M78" i="1"/>
  <c r="N78" i="1" s="1"/>
  <c r="M79" i="1"/>
  <c r="N79" i="1" s="1"/>
  <c r="M80" i="1"/>
  <c r="N80" i="1" s="1"/>
  <c r="M74" i="1"/>
  <c r="N74" i="1" s="1"/>
  <c r="M76" i="1"/>
  <c r="N76" i="1" s="1"/>
  <c r="M77" i="1"/>
  <c r="N77" i="1" s="1"/>
  <c r="M71" i="1"/>
  <c r="N71" i="1" s="1"/>
  <c r="M73" i="1"/>
  <c r="N73" i="1" s="1"/>
  <c r="M75" i="1"/>
  <c r="N75" i="1" s="1"/>
  <c r="M69" i="1"/>
  <c r="N69" i="1" s="1"/>
  <c r="M70" i="1"/>
  <c r="N70" i="1" s="1"/>
  <c r="M72" i="1"/>
  <c r="N72" i="1" s="1"/>
  <c r="M84" i="1"/>
  <c r="N84" i="1" s="1"/>
  <c r="M24" i="1"/>
  <c r="N24" i="1" s="1"/>
  <c r="M22" i="1"/>
  <c r="N22" i="1" s="1"/>
  <c r="M44" i="1"/>
  <c r="N44" i="1" s="1"/>
  <c r="M96" i="1"/>
  <c r="N96" i="1" s="1"/>
  <c r="M100" i="1"/>
  <c r="N100" i="1" s="1"/>
  <c r="M101" i="1"/>
  <c r="N101" i="1" s="1"/>
  <c r="M88" i="1"/>
  <c r="N88" i="1" s="1"/>
  <c r="M89" i="1"/>
  <c r="N89" i="1" s="1"/>
  <c r="M122" i="1"/>
  <c r="N122" i="1" s="1"/>
  <c r="M111" i="1"/>
  <c r="N111" i="1" s="1"/>
  <c r="M115" i="1"/>
  <c r="N115" i="1" s="1"/>
  <c r="M112" i="1"/>
  <c r="N112" i="1" s="1"/>
  <c r="M191" i="1"/>
  <c r="N191" i="1" s="1"/>
  <c r="M196" i="1"/>
  <c r="N196" i="1" s="1"/>
  <c r="M199" i="1"/>
  <c r="N199" i="1" s="1"/>
  <c r="M27" i="1"/>
  <c r="N27" i="1" s="1"/>
  <c r="M23" i="1"/>
  <c r="N23" i="1" s="1"/>
  <c r="M150" i="1"/>
  <c r="N150" i="1" s="1"/>
  <c r="M97" i="1"/>
  <c r="N97" i="1" s="1"/>
  <c r="M32" i="1"/>
  <c r="N32" i="1" s="1"/>
  <c r="M151" i="1"/>
  <c r="N151" i="1" s="1"/>
  <c r="M25" i="1"/>
  <c r="N25" i="1" s="1"/>
  <c r="N15" i="1"/>
  <c r="M155" i="1"/>
  <c r="N155" i="1" s="1"/>
  <c r="M30" i="1"/>
  <c r="N30" i="1" s="1"/>
  <c r="N21" i="1"/>
  <c r="M31" i="1"/>
  <c r="N31" i="1" s="1"/>
  <c r="M29" i="1"/>
  <c r="N29" i="1" s="1"/>
  <c r="N19" i="1"/>
  <c r="N18" i="1"/>
  <c r="M50" i="1"/>
  <c r="N50" i="1" s="1"/>
  <c r="M42" i="1"/>
  <c r="N42" i="1" s="1"/>
  <c r="M40" i="1"/>
  <c r="N40" i="1" s="1"/>
  <c r="M39" i="1"/>
  <c r="N39" i="1" s="1"/>
  <c r="M64" i="1"/>
  <c r="N64" i="1" s="1"/>
  <c r="M146" i="1"/>
  <c r="N146" i="1" s="1"/>
  <c r="M139" i="1"/>
  <c r="N139" i="1" s="1"/>
  <c r="M160" i="1"/>
  <c r="N160" i="1" s="1"/>
  <c r="M163" i="1"/>
  <c r="N163" i="1" s="1"/>
  <c r="M198" i="1"/>
  <c r="N198" i="1" s="1"/>
  <c r="M203" i="1"/>
  <c r="N203" i="1" s="1"/>
  <c r="M119" i="1"/>
  <c r="N119" i="1" s="1"/>
  <c r="M167" i="1"/>
  <c r="N167" i="1" s="1"/>
  <c r="M183" i="1"/>
  <c r="N183" i="1" s="1"/>
  <c r="M197" i="1"/>
  <c r="N197" i="1" s="1"/>
  <c r="M172" i="1"/>
  <c r="N172" i="1" s="1"/>
  <c r="M47" i="1"/>
  <c r="N47" i="1" s="1"/>
  <c r="M37" i="1"/>
  <c r="N37" i="1" s="1"/>
  <c r="M136" i="1"/>
  <c r="N136" i="1" s="1"/>
  <c r="M28" i="1"/>
  <c r="N28" i="1" s="1"/>
  <c r="M26" i="1"/>
  <c r="N26" i="1" s="1"/>
  <c r="N17" i="1"/>
  <c r="N16" i="1"/>
  <c r="M34" i="1"/>
  <c r="N34" i="1" s="1"/>
  <c r="M60" i="1"/>
  <c r="N60" i="1" s="1"/>
  <c r="M57" i="1"/>
  <c r="N57" i="1" s="1"/>
  <c r="M131" i="1"/>
  <c r="N131" i="1" s="1"/>
  <c r="M178" i="1"/>
  <c r="N178" i="1" s="1"/>
  <c r="M179" i="1"/>
  <c r="N179" i="1" s="1"/>
  <c r="M194" i="1"/>
  <c r="N194" i="1" s="1"/>
  <c r="M184" i="1"/>
  <c r="N184" i="1" s="1"/>
  <c r="M187" i="1"/>
  <c r="N187" i="1" s="1"/>
  <c r="M154" i="1"/>
  <c r="N154" i="1" s="1"/>
  <c r="M170" i="1"/>
  <c r="N170" i="1" s="1"/>
  <c r="M174" i="1"/>
  <c r="N174" i="1" s="1"/>
  <c r="M190" i="1"/>
  <c r="N190" i="1" s="1"/>
  <c r="M61" i="1"/>
  <c r="N61" i="1" s="1"/>
  <c r="M121" i="1"/>
  <c r="N121" i="1" s="1"/>
  <c r="M135" i="1"/>
  <c r="N135" i="1" s="1"/>
  <c r="M153" i="1"/>
  <c r="N153" i="1" s="1"/>
  <c r="M169" i="1"/>
  <c r="N169" i="1" s="1"/>
  <c r="M164" i="1"/>
  <c r="N164" i="1" s="1"/>
  <c r="M189" i="1"/>
  <c r="N189" i="1" s="1"/>
  <c r="M130" i="1"/>
  <c r="N130" i="1" s="1"/>
  <c r="M45" i="1"/>
  <c r="N45" i="1" s="1"/>
  <c r="M102" i="1"/>
  <c r="N102" i="1" s="1"/>
  <c r="M94" i="1"/>
  <c r="N94" i="1" s="1"/>
  <c r="M106" i="1"/>
  <c r="N106" i="1" s="1"/>
  <c r="M137" i="1"/>
  <c r="N137" i="1" s="1"/>
  <c r="M152" i="1"/>
  <c r="N152" i="1" s="1"/>
  <c r="M159" i="1"/>
  <c r="N159" i="1" s="1"/>
  <c r="M175" i="1"/>
  <c r="N175" i="1" s="1"/>
  <c r="M204" i="1"/>
  <c r="N204" i="1" s="1"/>
  <c r="M63" i="1"/>
  <c r="N63" i="1" s="1"/>
  <c r="M201" i="1"/>
  <c r="N201" i="1" s="1"/>
  <c r="M200" i="1"/>
  <c r="N200" i="1" s="1"/>
  <c r="M49" i="1"/>
  <c r="N49" i="1" s="1"/>
  <c r="M46" i="1"/>
  <c r="N46" i="1" s="1"/>
  <c r="M38" i="1"/>
  <c r="N38" i="1" s="1"/>
  <c r="M35" i="1"/>
  <c r="N35" i="1" s="1"/>
  <c r="M36" i="1"/>
  <c r="N36" i="1" s="1"/>
  <c r="M104" i="1"/>
  <c r="N104" i="1" s="1"/>
  <c r="M103" i="1"/>
  <c r="N103" i="1" s="1"/>
  <c r="M87" i="1"/>
  <c r="N87" i="1" s="1"/>
  <c r="M114" i="1"/>
  <c r="N114" i="1" s="1"/>
  <c r="M113" i="1"/>
  <c r="N113" i="1" s="1"/>
  <c r="M110" i="1"/>
  <c r="N110" i="1" s="1"/>
  <c r="M107" i="1"/>
  <c r="N107" i="1" s="1"/>
  <c r="M134" i="1"/>
  <c r="N134" i="1" s="1"/>
  <c r="M144" i="1"/>
  <c r="N144" i="1" s="1"/>
  <c r="M142" i="1"/>
  <c r="N142" i="1" s="1"/>
  <c r="M141" i="1"/>
  <c r="N141" i="1" s="1"/>
  <c r="M158" i="1"/>
  <c r="N158" i="1" s="1"/>
  <c r="M157" i="1"/>
  <c r="N157" i="1" s="1"/>
  <c r="M162" i="1"/>
  <c r="N162" i="1" s="1"/>
  <c r="M161" i="1"/>
  <c r="N161" i="1" s="1"/>
  <c r="M180" i="1"/>
  <c r="N180" i="1" s="1"/>
  <c r="M176" i="1"/>
  <c r="N176" i="1" s="1"/>
  <c r="M99" i="1"/>
  <c r="N99" i="1" s="1"/>
  <c r="M92" i="1"/>
  <c r="N92" i="1" s="1"/>
  <c r="M116" i="1"/>
  <c r="N116" i="1" s="1"/>
  <c r="M173" i="1"/>
  <c r="N173" i="1" s="1"/>
  <c r="M171" i="1"/>
  <c r="N171" i="1" s="1"/>
  <c r="M192" i="1"/>
  <c r="N192" i="1" s="1"/>
  <c r="M126" i="1"/>
  <c r="N126" i="1" s="1"/>
  <c r="M48" i="1"/>
  <c r="N48" i="1" s="1"/>
  <c r="M41" i="1"/>
  <c r="N41" i="1" s="1"/>
  <c r="M52" i="1"/>
  <c r="N52" i="1" s="1"/>
  <c r="M98" i="1"/>
  <c r="N98" i="1" s="1"/>
  <c r="M91" i="1"/>
  <c r="N91" i="1" s="1"/>
  <c r="M108" i="1"/>
  <c r="N108" i="1" s="1"/>
  <c r="M105" i="1"/>
  <c r="N105" i="1" s="1"/>
  <c r="M138" i="1"/>
  <c r="N138" i="1" s="1"/>
  <c r="M156" i="1"/>
  <c r="N156" i="1" s="1"/>
  <c r="M177" i="1"/>
  <c r="N177" i="1" s="1"/>
  <c r="M193" i="1"/>
  <c r="N193" i="1" s="1"/>
  <c r="M66" i="1"/>
  <c r="N66" i="1" s="1"/>
  <c r="M62" i="1"/>
  <c r="N62" i="1" s="1"/>
  <c r="M202" i="1"/>
  <c r="N202" i="1" s="1"/>
  <c r="M43" i="1"/>
  <c r="N43" i="1" s="1"/>
  <c r="M33" i="1"/>
  <c r="N33" i="1" s="1"/>
  <c r="M95" i="1"/>
  <c r="N95" i="1" s="1"/>
  <c r="M93" i="1"/>
  <c r="N93" i="1" s="1"/>
  <c r="M90" i="1"/>
  <c r="N90" i="1" s="1"/>
  <c r="M120" i="1"/>
  <c r="N120" i="1" s="1"/>
  <c r="M118" i="1"/>
  <c r="N118" i="1" s="1"/>
  <c r="M117" i="1"/>
  <c r="N117" i="1" s="1"/>
  <c r="M109" i="1"/>
  <c r="N109" i="1" s="1"/>
  <c r="M127" i="1"/>
  <c r="N127" i="1" s="1"/>
  <c r="M145" i="1"/>
  <c r="N145" i="1" s="1"/>
  <c r="M143" i="1"/>
  <c r="N143" i="1" s="1"/>
  <c r="M140" i="1"/>
  <c r="N140" i="1" s="1"/>
  <c r="M149" i="1"/>
  <c r="N149" i="1" s="1"/>
  <c r="M148" i="1"/>
  <c r="N148" i="1" s="1"/>
  <c r="M147" i="1"/>
  <c r="N147" i="1" s="1"/>
  <c r="M168" i="1"/>
  <c r="N168" i="1" s="1"/>
  <c r="M166" i="1"/>
  <c r="N166" i="1" s="1"/>
  <c r="M165" i="1"/>
  <c r="N165" i="1" s="1"/>
  <c r="M182" i="1"/>
  <c r="N182" i="1" s="1"/>
  <c r="M181" i="1"/>
  <c r="N181" i="1" s="1"/>
  <c r="M186" i="1"/>
  <c r="N186" i="1" s="1"/>
  <c r="M185" i="1"/>
  <c r="N185" i="1" s="1"/>
  <c r="M188" i="1"/>
  <c r="N188" i="1" s="1"/>
  <c r="M206" i="1"/>
  <c r="N206" i="1" s="1"/>
  <c r="M195" i="1"/>
  <c r="N195" i="1" s="1"/>
  <c r="M205" i="1"/>
  <c r="N205" i="1" s="1"/>
  <c r="M133" i="1"/>
  <c r="N133" i="1" s="1"/>
  <c r="M125" i="1"/>
  <c r="N125" i="1" s="1"/>
  <c r="M124" i="1"/>
  <c r="N124" i="1" s="1"/>
  <c r="M123" i="1"/>
  <c r="N123" i="1" s="1"/>
  <c r="M129" i="1"/>
  <c r="N129" i="1" s="1"/>
  <c r="M132" i="1"/>
  <c r="N132" i="1" s="1"/>
  <c r="M128" i="1"/>
  <c r="N128" i="1" s="1"/>
  <c r="M67" i="1"/>
  <c r="N67" i="1" s="1"/>
  <c r="M68" i="1"/>
  <c r="N68" i="1" s="1"/>
  <c r="M58" i="1"/>
  <c r="N58" i="1" s="1"/>
  <c r="M65" i="1"/>
  <c r="N65" i="1" s="1"/>
  <c r="M59" i="1"/>
  <c r="N59" i="1" s="1"/>
  <c r="M56" i="1"/>
  <c r="N56" i="1" s="1"/>
  <c r="M55" i="1"/>
  <c r="N55" i="1" s="1"/>
  <c r="M54" i="1"/>
  <c r="N54" i="1" s="1"/>
  <c r="M53" i="1"/>
  <c r="N53" i="1" s="1"/>
  <c r="M51" i="1"/>
  <c r="N51" i="1" s="1"/>
  <c r="N6" i="5" l="1"/>
  <c r="N12" i="5"/>
  <c r="N4" i="5"/>
  <c r="N10" i="5"/>
  <c r="N5" i="5"/>
  <c r="N11" i="5"/>
  <c r="N3" i="5"/>
  <c r="O53" i="1"/>
  <c r="P53" i="1"/>
  <c r="Q53" i="1"/>
  <c r="S53" i="1"/>
  <c r="R53" i="1"/>
  <c r="T53" i="1"/>
  <c r="S67" i="1"/>
  <c r="O67" i="1"/>
  <c r="P67" i="1"/>
  <c r="Q67" i="1"/>
  <c r="T67" i="1"/>
  <c r="R67" i="1"/>
  <c r="R205" i="1"/>
  <c r="S205" i="1"/>
  <c r="T205" i="1"/>
  <c r="O205" i="1"/>
  <c r="P205" i="1"/>
  <c r="Q205" i="1"/>
  <c r="T165" i="1"/>
  <c r="P165" i="1"/>
  <c r="O165" i="1"/>
  <c r="S165" i="1"/>
  <c r="Q165" i="1"/>
  <c r="R165" i="1"/>
  <c r="R148" i="1"/>
  <c r="S148" i="1"/>
  <c r="T148" i="1"/>
  <c r="Q148" i="1"/>
  <c r="P148" i="1"/>
  <c r="O148" i="1"/>
  <c r="R118" i="1"/>
  <c r="T118" i="1"/>
  <c r="O118" i="1"/>
  <c r="Q118" i="1"/>
  <c r="S118" i="1"/>
  <c r="P118" i="1"/>
  <c r="Q62" i="1"/>
  <c r="R62" i="1"/>
  <c r="P62" i="1"/>
  <c r="S62" i="1"/>
  <c r="O62" i="1"/>
  <c r="T62" i="1"/>
  <c r="R91" i="1"/>
  <c r="S91" i="1"/>
  <c r="T91" i="1"/>
  <c r="P91" i="1"/>
  <c r="O91" i="1"/>
  <c r="Q91" i="1"/>
  <c r="P173" i="1"/>
  <c r="T173" i="1"/>
  <c r="R173" i="1"/>
  <c r="Q173" i="1"/>
  <c r="S173" i="1"/>
  <c r="O173" i="1"/>
  <c r="R157" i="1"/>
  <c r="S157" i="1"/>
  <c r="P157" i="1"/>
  <c r="O157" i="1"/>
  <c r="T157" i="1"/>
  <c r="Q157" i="1"/>
  <c r="P113" i="1"/>
  <c r="S113" i="1"/>
  <c r="T113" i="1"/>
  <c r="O113" i="1"/>
  <c r="R113" i="1"/>
  <c r="Q113" i="1"/>
  <c r="R46" i="1"/>
  <c r="O46" i="1"/>
  <c r="T46" i="1"/>
  <c r="P46" i="1"/>
  <c r="Q46" i="1"/>
  <c r="S46" i="1"/>
  <c r="R152" i="1"/>
  <c r="O152" i="1"/>
  <c r="T152" i="1"/>
  <c r="Q152" i="1"/>
  <c r="S152" i="1"/>
  <c r="P152" i="1"/>
  <c r="R164" i="1"/>
  <c r="T164" i="1"/>
  <c r="O164" i="1"/>
  <c r="P164" i="1"/>
  <c r="Q164" i="1"/>
  <c r="S164" i="1"/>
  <c r="O170" i="1"/>
  <c r="S170" i="1"/>
  <c r="T170" i="1"/>
  <c r="P170" i="1"/>
  <c r="Q170" i="1"/>
  <c r="R170" i="1"/>
  <c r="O57" i="1"/>
  <c r="S57" i="1"/>
  <c r="T57" i="1"/>
  <c r="P57" i="1"/>
  <c r="Q57" i="1"/>
  <c r="R57" i="1"/>
  <c r="T37" i="1"/>
  <c r="P37" i="1"/>
  <c r="S37" i="1"/>
  <c r="O37" i="1"/>
  <c r="R37" i="1"/>
  <c r="Q37" i="1"/>
  <c r="T183" i="1"/>
  <c r="R183" i="1"/>
  <c r="S183" i="1"/>
  <c r="P183" i="1"/>
  <c r="O183" i="1"/>
  <c r="Q183" i="1"/>
  <c r="S146" i="1"/>
  <c r="O146" i="1"/>
  <c r="T146" i="1"/>
  <c r="P146" i="1"/>
  <c r="Q146" i="1"/>
  <c r="R146" i="1"/>
  <c r="R18" i="1"/>
  <c r="O18" i="1"/>
  <c r="T18" i="1"/>
  <c r="P18" i="1"/>
  <c r="S18" i="1"/>
  <c r="Q18" i="1"/>
  <c r="T23" i="1"/>
  <c r="Q23" i="1"/>
  <c r="O23" i="1"/>
  <c r="P23" i="1"/>
  <c r="R23" i="1"/>
  <c r="S23" i="1"/>
  <c r="S191" i="1"/>
  <c r="O191" i="1"/>
  <c r="R191" i="1"/>
  <c r="Q191" i="1"/>
  <c r="T191" i="1"/>
  <c r="P191" i="1"/>
  <c r="R100" i="1"/>
  <c r="P100" i="1"/>
  <c r="O100" i="1"/>
  <c r="S100" i="1"/>
  <c r="T100" i="1"/>
  <c r="Q100" i="1"/>
  <c r="R77" i="1"/>
  <c r="S77" i="1"/>
  <c r="O77" i="1"/>
  <c r="P77" i="1"/>
  <c r="T77" i="1"/>
  <c r="Q77" i="1"/>
  <c r="O81" i="1"/>
  <c r="P81" i="1"/>
  <c r="R81" i="1"/>
  <c r="S81" i="1"/>
  <c r="T81" i="1"/>
  <c r="Q81" i="1"/>
  <c r="R54" i="1"/>
  <c r="O54" i="1"/>
  <c r="T54" i="1"/>
  <c r="S54" i="1"/>
  <c r="P54" i="1"/>
  <c r="Q54" i="1"/>
  <c r="R128" i="1"/>
  <c r="O128" i="1"/>
  <c r="T128" i="1"/>
  <c r="P128" i="1"/>
  <c r="Q128" i="1"/>
  <c r="S128" i="1"/>
  <c r="S186" i="1"/>
  <c r="T186" i="1"/>
  <c r="P186" i="1"/>
  <c r="R186" i="1"/>
  <c r="O186" i="1"/>
  <c r="Q186" i="1"/>
  <c r="T149" i="1"/>
  <c r="Q149" i="1"/>
  <c r="S149" i="1"/>
  <c r="P149" i="1"/>
  <c r="R149" i="1"/>
  <c r="O149" i="1"/>
  <c r="R127" i="1"/>
  <c r="T127" i="1"/>
  <c r="O127" i="1"/>
  <c r="P127" i="1"/>
  <c r="Q127" i="1"/>
  <c r="S127" i="1"/>
  <c r="T33" i="1"/>
  <c r="Q33" i="1"/>
  <c r="S33" i="1"/>
  <c r="O33" i="1"/>
  <c r="P33" i="1"/>
  <c r="R33" i="1"/>
  <c r="R98" i="1"/>
  <c r="T98" i="1"/>
  <c r="O98" i="1"/>
  <c r="P98" i="1"/>
  <c r="S98" i="1"/>
  <c r="Q98" i="1"/>
  <c r="R116" i="1"/>
  <c r="O116" i="1"/>
  <c r="P116" i="1"/>
  <c r="S116" i="1"/>
  <c r="T116" i="1"/>
  <c r="Q116" i="1"/>
  <c r="O158" i="1"/>
  <c r="S158" i="1"/>
  <c r="Q158" i="1"/>
  <c r="T158" i="1"/>
  <c r="R158" i="1"/>
  <c r="P158" i="1"/>
  <c r="O134" i="1"/>
  <c r="S134" i="1"/>
  <c r="R134" i="1"/>
  <c r="P134" i="1"/>
  <c r="T134" i="1"/>
  <c r="Q134" i="1"/>
  <c r="R36" i="1"/>
  <c r="O36" i="1"/>
  <c r="T36" i="1"/>
  <c r="P36" i="1"/>
  <c r="S36" i="1"/>
  <c r="Q36" i="1"/>
  <c r="T204" i="1"/>
  <c r="O204" i="1"/>
  <c r="Q204" i="1"/>
  <c r="S204" i="1"/>
  <c r="P204" i="1"/>
  <c r="R204" i="1"/>
  <c r="T45" i="1"/>
  <c r="P45" i="1"/>
  <c r="Q45" i="1"/>
  <c r="O45" i="1"/>
  <c r="S45" i="1"/>
  <c r="R45" i="1"/>
  <c r="R61" i="1"/>
  <c r="Q61" i="1"/>
  <c r="T61" i="1"/>
  <c r="S61" i="1"/>
  <c r="O61" i="1"/>
  <c r="P61" i="1"/>
  <c r="Q179" i="1"/>
  <c r="P179" i="1"/>
  <c r="T179" i="1"/>
  <c r="O179" i="1"/>
  <c r="R179" i="1"/>
  <c r="S179" i="1"/>
  <c r="T26" i="1"/>
  <c r="P26" i="1"/>
  <c r="R26" i="1"/>
  <c r="O26" i="1"/>
  <c r="S26" i="1"/>
  <c r="Q26" i="1"/>
  <c r="S167" i="1"/>
  <c r="O167" i="1"/>
  <c r="T167" i="1"/>
  <c r="R167" i="1"/>
  <c r="Q167" i="1"/>
  <c r="P167" i="1"/>
  <c r="R64" i="1"/>
  <c r="T64" i="1"/>
  <c r="S64" i="1"/>
  <c r="P64" i="1"/>
  <c r="O64" i="1"/>
  <c r="Q64" i="1"/>
  <c r="T29" i="1"/>
  <c r="Q29" i="1"/>
  <c r="R29" i="1"/>
  <c r="S29" i="1"/>
  <c r="O29" i="1"/>
  <c r="P29" i="1"/>
  <c r="R32" i="1"/>
  <c r="O32" i="1"/>
  <c r="Q32" i="1"/>
  <c r="P32" i="1"/>
  <c r="S32" i="1"/>
  <c r="T32" i="1"/>
  <c r="S112" i="1"/>
  <c r="O112" i="1"/>
  <c r="Q112" i="1"/>
  <c r="P112" i="1"/>
  <c r="T112" i="1"/>
  <c r="R112" i="1"/>
  <c r="P96" i="1"/>
  <c r="R96" i="1"/>
  <c r="Q96" i="1"/>
  <c r="S96" i="1"/>
  <c r="T96" i="1"/>
  <c r="O96" i="1"/>
  <c r="Q75" i="1"/>
  <c r="P75" i="1"/>
  <c r="T75" i="1"/>
  <c r="O75" i="1"/>
  <c r="S75" i="1"/>
  <c r="R75" i="1"/>
  <c r="P78" i="1"/>
  <c r="O78" i="1"/>
  <c r="S78" i="1"/>
  <c r="Q78" i="1"/>
  <c r="T78" i="1"/>
  <c r="R78" i="1"/>
  <c r="O55" i="1"/>
  <c r="S55" i="1"/>
  <c r="T55" i="1"/>
  <c r="P55" i="1"/>
  <c r="Q55" i="1"/>
  <c r="R55" i="1"/>
  <c r="S132" i="1"/>
  <c r="O132" i="1"/>
  <c r="R132" i="1"/>
  <c r="T132" i="1"/>
  <c r="P132" i="1"/>
  <c r="Q132" i="1"/>
  <c r="O206" i="1"/>
  <c r="S206" i="1"/>
  <c r="R206" i="1"/>
  <c r="Q206" i="1"/>
  <c r="T206" i="1"/>
  <c r="P206" i="1"/>
  <c r="S168" i="1"/>
  <c r="O168" i="1"/>
  <c r="T168" i="1"/>
  <c r="P168" i="1"/>
  <c r="Q168" i="1"/>
  <c r="R168" i="1"/>
  <c r="P90" i="1"/>
  <c r="Q90" i="1"/>
  <c r="S90" i="1"/>
  <c r="O90" i="1"/>
  <c r="R90" i="1"/>
  <c r="T90" i="1"/>
  <c r="S43" i="1"/>
  <c r="O43" i="1"/>
  <c r="T43" i="1"/>
  <c r="P43" i="1"/>
  <c r="Q43" i="1"/>
  <c r="R43" i="1"/>
  <c r="P105" i="1"/>
  <c r="O105" i="1"/>
  <c r="Q105" i="1"/>
  <c r="T105" i="1"/>
  <c r="R105" i="1"/>
  <c r="S105" i="1"/>
  <c r="O192" i="1"/>
  <c r="S192" i="1"/>
  <c r="T192" i="1"/>
  <c r="P192" i="1"/>
  <c r="Q192" i="1"/>
  <c r="R192" i="1"/>
  <c r="T51" i="1"/>
  <c r="P51" i="1"/>
  <c r="R51" i="1"/>
  <c r="O51" i="1"/>
  <c r="Q51" i="1"/>
  <c r="S51" i="1"/>
  <c r="S56" i="1"/>
  <c r="Q56" i="1"/>
  <c r="T56" i="1"/>
  <c r="P56" i="1"/>
  <c r="O56" i="1"/>
  <c r="R56" i="1"/>
  <c r="O68" i="1"/>
  <c r="S68" i="1"/>
  <c r="Q68" i="1"/>
  <c r="T68" i="1"/>
  <c r="R68" i="1"/>
  <c r="P68" i="1"/>
  <c r="R129" i="1"/>
  <c r="T129" i="1"/>
  <c r="O129" i="1"/>
  <c r="S129" i="1"/>
  <c r="P129" i="1"/>
  <c r="Q129" i="1"/>
  <c r="R133" i="1"/>
  <c r="S133" i="1"/>
  <c r="T133" i="1"/>
  <c r="P133" i="1"/>
  <c r="O133" i="1"/>
  <c r="Q133" i="1"/>
  <c r="R188" i="1"/>
  <c r="T188" i="1"/>
  <c r="O188" i="1"/>
  <c r="P188" i="1"/>
  <c r="S188" i="1"/>
  <c r="Q188" i="1"/>
  <c r="O182" i="1"/>
  <c r="S182" i="1"/>
  <c r="R182" i="1"/>
  <c r="P182" i="1"/>
  <c r="T182" i="1"/>
  <c r="Q182" i="1"/>
  <c r="Q147" i="1"/>
  <c r="S147" i="1"/>
  <c r="T147" i="1"/>
  <c r="O147" i="1"/>
  <c r="R147" i="1"/>
  <c r="P147" i="1"/>
  <c r="S143" i="1"/>
  <c r="O143" i="1"/>
  <c r="P143" i="1"/>
  <c r="T143" i="1"/>
  <c r="Q143" i="1"/>
  <c r="R143" i="1"/>
  <c r="O117" i="1"/>
  <c r="S117" i="1"/>
  <c r="T117" i="1"/>
  <c r="P117" i="1"/>
  <c r="Q117" i="1"/>
  <c r="R117" i="1"/>
  <c r="Q93" i="1"/>
  <c r="T93" i="1"/>
  <c r="O93" i="1"/>
  <c r="R93" i="1"/>
  <c r="P93" i="1"/>
  <c r="S93" i="1"/>
  <c r="Q202" i="1"/>
  <c r="R202" i="1"/>
  <c r="S202" i="1"/>
  <c r="O202" i="1"/>
  <c r="P202" i="1"/>
  <c r="T202" i="1"/>
  <c r="R177" i="1"/>
  <c r="Q177" i="1"/>
  <c r="P177" i="1"/>
  <c r="T177" i="1"/>
  <c r="S177" i="1"/>
  <c r="O177" i="1"/>
  <c r="T108" i="1"/>
  <c r="R108" i="1"/>
  <c r="O108" i="1"/>
  <c r="Q108" i="1"/>
  <c r="P108" i="1"/>
  <c r="S108" i="1"/>
  <c r="R41" i="1"/>
  <c r="O41" i="1"/>
  <c r="T41" i="1"/>
  <c r="P41" i="1"/>
  <c r="S41" i="1"/>
  <c r="Q41" i="1"/>
  <c r="R171" i="1"/>
  <c r="P171" i="1"/>
  <c r="O171" i="1"/>
  <c r="T171" i="1"/>
  <c r="Q171" i="1"/>
  <c r="S171" i="1"/>
  <c r="T99" i="1"/>
  <c r="P99" i="1"/>
  <c r="S99" i="1"/>
  <c r="O99" i="1"/>
  <c r="R99" i="1"/>
  <c r="Q99" i="1"/>
  <c r="S162" i="1"/>
  <c r="T162" i="1"/>
  <c r="R162" i="1"/>
  <c r="P162" i="1"/>
  <c r="Q162" i="1"/>
  <c r="O162" i="1"/>
  <c r="R142" i="1"/>
  <c r="P142" i="1"/>
  <c r="O142" i="1"/>
  <c r="S142" i="1"/>
  <c r="T142" i="1"/>
  <c r="Q142" i="1"/>
  <c r="T110" i="1"/>
  <c r="P110" i="1"/>
  <c r="R110" i="1"/>
  <c r="Q110" i="1"/>
  <c r="S110" i="1"/>
  <c r="O110" i="1"/>
  <c r="R103" i="1"/>
  <c r="O103" i="1"/>
  <c r="S103" i="1"/>
  <c r="P103" i="1"/>
  <c r="T103" i="1"/>
  <c r="Q103" i="1"/>
  <c r="P38" i="1"/>
  <c r="R38" i="1"/>
  <c r="Q38" i="1"/>
  <c r="S38" i="1"/>
  <c r="O38" i="1"/>
  <c r="T38" i="1"/>
  <c r="T201" i="1"/>
  <c r="P201" i="1"/>
  <c r="R201" i="1"/>
  <c r="Q201" i="1"/>
  <c r="S201" i="1"/>
  <c r="O201" i="1"/>
  <c r="Q159" i="1"/>
  <c r="O159" i="1"/>
  <c r="R159" i="1"/>
  <c r="T159" i="1"/>
  <c r="P159" i="1"/>
  <c r="S159" i="1"/>
  <c r="O94" i="1"/>
  <c r="S94" i="1"/>
  <c r="T94" i="1"/>
  <c r="R94" i="1"/>
  <c r="P94" i="1"/>
  <c r="Q94" i="1"/>
  <c r="T189" i="1"/>
  <c r="P189" i="1"/>
  <c r="S189" i="1"/>
  <c r="R189" i="1"/>
  <c r="Q189" i="1"/>
  <c r="O189" i="1"/>
  <c r="R135" i="1"/>
  <c r="P135" i="1"/>
  <c r="S135" i="1"/>
  <c r="O135" i="1"/>
  <c r="T135" i="1"/>
  <c r="Q135" i="1"/>
  <c r="T174" i="1"/>
  <c r="R174" i="1"/>
  <c r="Q174" i="1"/>
  <c r="S174" i="1"/>
  <c r="O174" i="1"/>
  <c r="P174" i="1"/>
  <c r="R184" i="1"/>
  <c r="S184" i="1"/>
  <c r="P184" i="1"/>
  <c r="O184" i="1"/>
  <c r="Q184" i="1"/>
  <c r="T184" i="1"/>
  <c r="Q131" i="1"/>
  <c r="S131" i="1"/>
  <c r="R131" i="1"/>
  <c r="T131" i="1"/>
  <c r="P131" i="1"/>
  <c r="O131" i="1"/>
  <c r="R16" i="1"/>
  <c r="S16" i="1"/>
  <c r="T16" i="1"/>
  <c r="P16" i="1"/>
  <c r="O16" i="1"/>
  <c r="Q16" i="1"/>
  <c r="Q136" i="1"/>
  <c r="S136" i="1"/>
  <c r="P136" i="1"/>
  <c r="O136" i="1"/>
  <c r="R136" i="1"/>
  <c r="T136" i="1"/>
  <c r="Q197" i="1"/>
  <c r="R197" i="1"/>
  <c r="S197" i="1"/>
  <c r="O197" i="1"/>
  <c r="P197" i="1"/>
  <c r="T197" i="1"/>
  <c r="Q203" i="1"/>
  <c r="T203" i="1"/>
  <c r="O203" i="1"/>
  <c r="S203" i="1"/>
  <c r="R203" i="1"/>
  <c r="P203" i="1"/>
  <c r="R139" i="1"/>
  <c r="T139" i="1"/>
  <c r="O139" i="1"/>
  <c r="P139" i="1"/>
  <c r="S139" i="1"/>
  <c r="Q139" i="1"/>
  <c r="R40" i="1"/>
  <c r="P40" i="1"/>
  <c r="O40" i="1"/>
  <c r="T40" i="1"/>
  <c r="S40" i="1"/>
  <c r="Q40" i="1"/>
  <c r="O19" i="1"/>
  <c r="S19" i="1"/>
  <c r="R19" i="1"/>
  <c r="T19" i="1"/>
  <c r="P19" i="1"/>
  <c r="Q19" i="1"/>
  <c r="R24" i="1"/>
  <c r="S24" i="1"/>
  <c r="P24" i="1"/>
  <c r="O24" i="1"/>
  <c r="T24" i="1"/>
  <c r="Q24" i="1"/>
  <c r="S25" i="1"/>
  <c r="O25" i="1"/>
  <c r="Q25" i="1"/>
  <c r="P25" i="1"/>
  <c r="R25" i="1"/>
  <c r="T25" i="1"/>
  <c r="T150" i="1"/>
  <c r="S150" i="1"/>
  <c r="Q150" i="1"/>
  <c r="O150" i="1"/>
  <c r="R150" i="1"/>
  <c r="P150" i="1"/>
  <c r="S196" i="1"/>
  <c r="O196" i="1"/>
  <c r="R196" i="1"/>
  <c r="T196" i="1"/>
  <c r="Q196" i="1"/>
  <c r="P196" i="1"/>
  <c r="P111" i="1"/>
  <c r="S111" i="1"/>
  <c r="O111" i="1"/>
  <c r="R111" i="1"/>
  <c r="T111" i="1"/>
  <c r="Q111" i="1"/>
  <c r="S101" i="1"/>
  <c r="O101" i="1"/>
  <c r="R101" i="1"/>
  <c r="Q101" i="1"/>
  <c r="T101" i="1"/>
  <c r="P101" i="1"/>
  <c r="R30" i="1"/>
  <c r="T30" i="1"/>
  <c r="O30" i="1"/>
  <c r="Q30" i="1"/>
  <c r="P30" i="1"/>
  <c r="S30" i="1"/>
  <c r="R70" i="1"/>
  <c r="T70" i="1"/>
  <c r="O70" i="1"/>
  <c r="P70" i="1"/>
  <c r="Q70" i="1"/>
  <c r="S70" i="1"/>
  <c r="S71" i="1"/>
  <c r="O71" i="1"/>
  <c r="T71" i="1"/>
  <c r="R71" i="1"/>
  <c r="P71" i="1"/>
  <c r="Q71" i="1"/>
  <c r="O80" i="1"/>
  <c r="S80" i="1"/>
  <c r="R80" i="1"/>
  <c r="P80" i="1"/>
  <c r="Q80" i="1"/>
  <c r="T80" i="1"/>
  <c r="R82" i="1"/>
  <c r="T82" i="1"/>
  <c r="O82" i="1"/>
  <c r="Q82" i="1"/>
  <c r="P82" i="1"/>
  <c r="S82" i="1"/>
  <c r="R59" i="1"/>
  <c r="O59" i="1"/>
  <c r="T59" i="1"/>
  <c r="Q59" i="1"/>
  <c r="S59" i="1"/>
  <c r="P59" i="1"/>
  <c r="Q123" i="1"/>
  <c r="P123" i="1"/>
  <c r="T123" i="1"/>
  <c r="O123" i="1"/>
  <c r="R123" i="1"/>
  <c r="S123" i="1"/>
  <c r="Q185" i="1"/>
  <c r="P185" i="1"/>
  <c r="O185" i="1"/>
  <c r="S185" i="1"/>
  <c r="T185" i="1"/>
  <c r="R185" i="1"/>
  <c r="R145" i="1"/>
  <c r="O145" i="1"/>
  <c r="T145" i="1"/>
  <c r="S145" i="1"/>
  <c r="P145" i="1"/>
  <c r="Q145" i="1"/>
  <c r="Q95" i="1"/>
  <c r="R95" i="1"/>
  <c r="O95" i="1"/>
  <c r="S95" i="1"/>
  <c r="P95" i="1"/>
  <c r="T95" i="1"/>
  <c r="S156" i="1"/>
  <c r="O156" i="1"/>
  <c r="R156" i="1"/>
  <c r="P156" i="1"/>
  <c r="Q156" i="1"/>
  <c r="T156" i="1"/>
  <c r="R48" i="1"/>
  <c r="Q48" i="1"/>
  <c r="P48" i="1"/>
  <c r="S48" i="1"/>
  <c r="O48" i="1"/>
  <c r="T48" i="1"/>
  <c r="R176" i="1"/>
  <c r="O176" i="1"/>
  <c r="T176" i="1"/>
  <c r="P176" i="1"/>
  <c r="Q176" i="1"/>
  <c r="S176" i="1"/>
  <c r="S144" i="1"/>
  <c r="O144" i="1"/>
  <c r="T144" i="1"/>
  <c r="P144" i="1"/>
  <c r="Q144" i="1"/>
  <c r="R144" i="1"/>
  <c r="O104" i="1"/>
  <c r="S104" i="1"/>
  <c r="T104" i="1"/>
  <c r="P104" i="1"/>
  <c r="Q104" i="1"/>
  <c r="R104" i="1"/>
  <c r="R63" i="1"/>
  <c r="T63" i="1"/>
  <c r="Q63" i="1"/>
  <c r="S63" i="1"/>
  <c r="P63" i="1"/>
  <c r="O63" i="1"/>
  <c r="S102" i="1"/>
  <c r="O102" i="1"/>
  <c r="T102" i="1"/>
  <c r="P102" i="1"/>
  <c r="Q102" i="1"/>
  <c r="R102" i="1"/>
  <c r="R121" i="1"/>
  <c r="O121" i="1"/>
  <c r="T121" i="1"/>
  <c r="Q121" i="1"/>
  <c r="S121" i="1"/>
  <c r="P121" i="1"/>
  <c r="S194" i="1"/>
  <c r="O194" i="1"/>
  <c r="T194" i="1"/>
  <c r="P194" i="1"/>
  <c r="Q194" i="1"/>
  <c r="R194" i="1"/>
  <c r="T17" i="1"/>
  <c r="O17" i="1"/>
  <c r="R17" i="1"/>
  <c r="S17" i="1"/>
  <c r="Q17" i="1"/>
  <c r="P17" i="1"/>
  <c r="O198" i="1"/>
  <c r="T198" i="1"/>
  <c r="R198" i="1"/>
  <c r="P198" i="1"/>
  <c r="S198" i="1"/>
  <c r="Q198" i="1"/>
  <c r="P42" i="1"/>
  <c r="Q42" i="1"/>
  <c r="T42" i="1"/>
  <c r="R42" i="1"/>
  <c r="O42" i="1"/>
  <c r="S42" i="1"/>
  <c r="T27" i="1"/>
  <c r="O27" i="1"/>
  <c r="Q27" i="1"/>
  <c r="R27" i="1"/>
  <c r="P27" i="1"/>
  <c r="S27" i="1"/>
  <c r="R151" i="1"/>
  <c r="T151" i="1"/>
  <c r="O151" i="1"/>
  <c r="Q151" i="1"/>
  <c r="S151" i="1"/>
  <c r="P151" i="1"/>
  <c r="Q122" i="1"/>
  <c r="T122" i="1"/>
  <c r="O122" i="1"/>
  <c r="S122" i="1"/>
  <c r="P122" i="1"/>
  <c r="R122" i="1"/>
  <c r="Q21" i="1"/>
  <c r="R21" i="1"/>
  <c r="P21" i="1"/>
  <c r="S21" i="1"/>
  <c r="O21" i="1"/>
  <c r="T21" i="1"/>
  <c r="P69" i="1"/>
  <c r="R69" i="1"/>
  <c r="Q69" i="1"/>
  <c r="S69" i="1"/>
  <c r="T69" i="1"/>
  <c r="O69" i="1"/>
  <c r="S79" i="1"/>
  <c r="O79" i="1"/>
  <c r="R79" i="1"/>
  <c r="T79" i="1"/>
  <c r="P79" i="1"/>
  <c r="Q79" i="1"/>
  <c r="R65" i="1"/>
  <c r="S65" i="1"/>
  <c r="P65" i="1"/>
  <c r="O65" i="1"/>
  <c r="T65" i="1"/>
  <c r="Q65" i="1"/>
  <c r="T124" i="1"/>
  <c r="P124" i="1"/>
  <c r="S124" i="1"/>
  <c r="R124" i="1"/>
  <c r="O124" i="1"/>
  <c r="Q124" i="1"/>
  <c r="T195" i="1"/>
  <c r="S195" i="1"/>
  <c r="O195" i="1"/>
  <c r="R195" i="1"/>
  <c r="P195" i="1"/>
  <c r="Q195" i="1"/>
  <c r="R166" i="1"/>
  <c r="P166" i="1"/>
  <c r="T166" i="1"/>
  <c r="S166" i="1"/>
  <c r="O166" i="1"/>
  <c r="Q166" i="1"/>
  <c r="R120" i="1"/>
  <c r="Q120" i="1"/>
  <c r="O120" i="1"/>
  <c r="T120" i="1"/>
  <c r="S120" i="1"/>
  <c r="P120" i="1"/>
  <c r="O66" i="1"/>
  <c r="R66" i="1"/>
  <c r="P66" i="1"/>
  <c r="T66" i="1"/>
  <c r="Q66" i="1"/>
  <c r="S66" i="1"/>
  <c r="S138" i="1"/>
  <c r="R138" i="1"/>
  <c r="O138" i="1"/>
  <c r="Q138" i="1"/>
  <c r="P138" i="1"/>
  <c r="T138" i="1"/>
  <c r="R126" i="1"/>
  <c r="P126" i="1"/>
  <c r="Q126" i="1"/>
  <c r="O126" i="1"/>
  <c r="S126" i="1"/>
  <c r="T126" i="1"/>
  <c r="S180" i="1"/>
  <c r="O180" i="1"/>
  <c r="R180" i="1"/>
  <c r="T180" i="1"/>
  <c r="P180" i="1"/>
  <c r="Q180" i="1"/>
  <c r="R114" i="1"/>
  <c r="T114" i="1"/>
  <c r="O114" i="1"/>
  <c r="S114" i="1"/>
  <c r="Q114" i="1"/>
  <c r="P114" i="1"/>
  <c r="Q49" i="1"/>
  <c r="S49" i="1"/>
  <c r="R49" i="1"/>
  <c r="O49" i="1"/>
  <c r="T49" i="1"/>
  <c r="P49" i="1"/>
  <c r="P137" i="1"/>
  <c r="R137" i="1"/>
  <c r="S137" i="1"/>
  <c r="O137" i="1"/>
  <c r="T137" i="1"/>
  <c r="Q137" i="1"/>
  <c r="R169" i="1"/>
  <c r="O169" i="1"/>
  <c r="T169" i="1"/>
  <c r="S169" i="1"/>
  <c r="P169" i="1"/>
  <c r="Q169" i="1"/>
  <c r="R154" i="1"/>
  <c r="T154" i="1"/>
  <c r="S154" i="1"/>
  <c r="P154" i="1"/>
  <c r="O154" i="1"/>
  <c r="Q154" i="1"/>
  <c r="Q60" i="1"/>
  <c r="T60" i="1"/>
  <c r="O60" i="1"/>
  <c r="S60" i="1"/>
  <c r="R60" i="1"/>
  <c r="P60" i="1"/>
  <c r="T47" i="1"/>
  <c r="Q47" i="1"/>
  <c r="R47" i="1"/>
  <c r="S47" i="1"/>
  <c r="P47" i="1"/>
  <c r="O47" i="1"/>
  <c r="R163" i="1"/>
  <c r="O163" i="1"/>
  <c r="T163" i="1"/>
  <c r="Q163" i="1"/>
  <c r="P163" i="1"/>
  <c r="S163" i="1"/>
  <c r="Q50" i="1"/>
  <c r="S50" i="1"/>
  <c r="R50" i="1"/>
  <c r="P50" i="1"/>
  <c r="O50" i="1"/>
  <c r="T50" i="1"/>
  <c r="Q155" i="1"/>
  <c r="R155" i="1"/>
  <c r="P155" i="1"/>
  <c r="T155" i="1"/>
  <c r="S155" i="1"/>
  <c r="O155" i="1"/>
  <c r="P22" i="1"/>
  <c r="R22" i="1"/>
  <c r="O22" i="1"/>
  <c r="T22" i="1"/>
  <c r="Q22" i="1"/>
  <c r="S22" i="1"/>
  <c r="R89" i="1"/>
  <c r="T89" i="1"/>
  <c r="S89" i="1"/>
  <c r="P89" i="1"/>
  <c r="O89" i="1"/>
  <c r="Q89" i="1"/>
  <c r="R84" i="1"/>
  <c r="T84" i="1"/>
  <c r="O84" i="1"/>
  <c r="Q84" i="1"/>
  <c r="P84" i="1"/>
  <c r="S84" i="1"/>
  <c r="R76" i="1"/>
  <c r="T76" i="1"/>
  <c r="S76" i="1"/>
  <c r="O76" i="1"/>
  <c r="P76" i="1"/>
  <c r="Q76" i="1"/>
  <c r="S86" i="1"/>
  <c r="O86" i="1"/>
  <c r="T86" i="1"/>
  <c r="R86" i="1"/>
  <c r="P86" i="1"/>
  <c r="Q86" i="1"/>
  <c r="R58" i="1"/>
  <c r="T58" i="1"/>
  <c r="O58" i="1"/>
  <c r="Q58" i="1"/>
  <c r="S58" i="1"/>
  <c r="P58" i="1"/>
  <c r="T125" i="1"/>
  <c r="Q125" i="1"/>
  <c r="R125" i="1"/>
  <c r="P125" i="1"/>
  <c r="S125" i="1"/>
  <c r="O125" i="1"/>
  <c r="R181" i="1"/>
  <c r="S181" i="1"/>
  <c r="O181" i="1"/>
  <c r="T181" i="1"/>
  <c r="P181" i="1"/>
  <c r="Q181" i="1"/>
  <c r="R140" i="1"/>
  <c r="O140" i="1"/>
  <c r="T140" i="1"/>
  <c r="P140" i="1"/>
  <c r="S140" i="1"/>
  <c r="Q140" i="1"/>
  <c r="R109" i="1"/>
  <c r="T109" i="1"/>
  <c r="O109" i="1"/>
  <c r="Q109" i="1"/>
  <c r="P109" i="1"/>
  <c r="S109" i="1"/>
  <c r="R193" i="1"/>
  <c r="O193" i="1"/>
  <c r="S193" i="1"/>
  <c r="P193" i="1"/>
  <c r="T193" i="1"/>
  <c r="Q193" i="1"/>
  <c r="R52" i="1"/>
  <c r="P52" i="1"/>
  <c r="O52" i="1"/>
  <c r="T52" i="1"/>
  <c r="S52" i="1"/>
  <c r="Q52" i="1"/>
  <c r="S92" i="1"/>
  <c r="O92" i="1"/>
  <c r="R92" i="1"/>
  <c r="P92" i="1"/>
  <c r="Q92" i="1"/>
  <c r="T92" i="1"/>
  <c r="P161" i="1"/>
  <c r="T161" i="1"/>
  <c r="O161" i="1"/>
  <c r="Q161" i="1"/>
  <c r="R161" i="1"/>
  <c r="S161" i="1"/>
  <c r="T141" i="1"/>
  <c r="P141" i="1"/>
  <c r="Q141" i="1"/>
  <c r="O141" i="1"/>
  <c r="S141" i="1"/>
  <c r="R141" i="1"/>
  <c r="R107" i="1"/>
  <c r="T107" i="1"/>
  <c r="O107" i="1"/>
  <c r="P107" i="1"/>
  <c r="Q107" i="1"/>
  <c r="S107" i="1"/>
  <c r="T87" i="1"/>
  <c r="R87" i="1"/>
  <c r="S87" i="1"/>
  <c r="O87" i="1"/>
  <c r="Q87" i="1"/>
  <c r="P87" i="1"/>
  <c r="T35" i="1"/>
  <c r="P35" i="1"/>
  <c r="O35" i="1"/>
  <c r="R35" i="1"/>
  <c r="Q35" i="1"/>
  <c r="S35" i="1"/>
  <c r="R200" i="1"/>
  <c r="O200" i="1"/>
  <c r="T200" i="1"/>
  <c r="Q200" i="1"/>
  <c r="S200" i="1"/>
  <c r="P200" i="1"/>
  <c r="R175" i="1"/>
  <c r="T175" i="1"/>
  <c r="O175" i="1"/>
  <c r="P175" i="1"/>
  <c r="Q175" i="1"/>
  <c r="S175" i="1"/>
  <c r="S106" i="1"/>
  <c r="O106" i="1"/>
  <c r="T106" i="1"/>
  <c r="Q106" i="1"/>
  <c r="P106" i="1"/>
  <c r="R106" i="1"/>
  <c r="R130" i="1"/>
  <c r="T130" i="1"/>
  <c r="S130" i="1"/>
  <c r="P130" i="1"/>
  <c r="O130" i="1"/>
  <c r="Q130" i="1"/>
  <c r="R153" i="1"/>
  <c r="S153" i="1"/>
  <c r="Q153" i="1"/>
  <c r="T153" i="1"/>
  <c r="P153" i="1"/>
  <c r="O153" i="1"/>
  <c r="R190" i="1"/>
  <c r="P190" i="1"/>
  <c r="T190" i="1"/>
  <c r="S190" i="1"/>
  <c r="O190" i="1"/>
  <c r="Q190" i="1"/>
  <c r="R187" i="1"/>
  <c r="O187" i="1"/>
  <c r="T187" i="1"/>
  <c r="P187" i="1"/>
  <c r="S187" i="1"/>
  <c r="Q187" i="1"/>
  <c r="R178" i="1"/>
  <c r="T178" i="1"/>
  <c r="P178" i="1"/>
  <c r="O178" i="1"/>
  <c r="S178" i="1"/>
  <c r="Q178" i="1"/>
  <c r="R34" i="1"/>
  <c r="T34" i="1"/>
  <c r="O34" i="1"/>
  <c r="P34" i="1"/>
  <c r="S34" i="1"/>
  <c r="Q34" i="1"/>
  <c r="R28" i="1"/>
  <c r="O28" i="1"/>
  <c r="P28" i="1"/>
  <c r="T28" i="1"/>
  <c r="S28" i="1"/>
  <c r="Q28" i="1"/>
  <c r="T172" i="1"/>
  <c r="P172" i="1"/>
  <c r="R172" i="1"/>
  <c r="S172" i="1"/>
  <c r="Q172" i="1"/>
  <c r="O172" i="1"/>
  <c r="S119" i="1"/>
  <c r="O119" i="1"/>
  <c r="T119" i="1"/>
  <c r="P119" i="1"/>
  <c r="Q119" i="1"/>
  <c r="R119" i="1"/>
  <c r="S160" i="1"/>
  <c r="O160" i="1"/>
  <c r="R160" i="1"/>
  <c r="P160" i="1"/>
  <c r="T160" i="1"/>
  <c r="Q160" i="1"/>
  <c r="S39" i="1"/>
  <c r="O39" i="1"/>
  <c r="P39" i="1"/>
  <c r="T39" i="1"/>
  <c r="R39" i="1"/>
  <c r="Q39" i="1"/>
  <c r="T20" i="1"/>
  <c r="R20" i="1"/>
  <c r="S20" i="1"/>
  <c r="Q20" i="1"/>
  <c r="O20" i="1"/>
  <c r="P20" i="1"/>
  <c r="S31" i="1"/>
  <c r="O31" i="1"/>
  <c r="T31" i="1"/>
  <c r="P31" i="1"/>
  <c r="Q31" i="1"/>
  <c r="R31" i="1"/>
  <c r="Q15" i="1"/>
  <c r="P15" i="1"/>
  <c r="R15" i="1"/>
  <c r="T15" i="1"/>
  <c r="S15" i="1"/>
  <c r="O15" i="1"/>
  <c r="R97" i="1"/>
  <c r="O97" i="1"/>
  <c r="T97" i="1"/>
  <c r="P97" i="1"/>
  <c r="S97" i="1"/>
  <c r="Q97" i="1"/>
  <c r="T199" i="1"/>
  <c r="S199" i="1"/>
  <c r="P199" i="1"/>
  <c r="Q199" i="1"/>
  <c r="O199" i="1"/>
  <c r="R199" i="1"/>
  <c r="R115" i="1"/>
  <c r="P115" i="1"/>
  <c r="S115" i="1"/>
  <c r="O115" i="1"/>
  <c r="T115" i="1"/>
  <c r="Q115" i="1"/>
  <c r="S88" i="1"/>
  <c r="R88" i="1"/>
  <c r="Q88" i="1"/>
  <c r="O88" i="1"/>
  <c r="P88" i="1"/>
  <c r="T88" i="1"/>
  <c r="T44" i="1"/>
  <c r="S44" i="1"/>
  <c r="P44" i="1"/>
  <c r="O44" i="1"/>
  <c r="Q44" i="1"/>
  <c r="R44" i="1"/>
  <c r="R72" i="1"/>
  <c r="O72" i="1"/>
  <c r="T72" i="1"/>
  <c r="P72" i="1"/>
  <c r="Q72" i="1"/>
  <c r="S72" i="1"/>
  <c r="R73" i="1"/>
  <c r="Q73" i="1"/>
  <c r="S73" i="1"/>
  <c r="P73" i="1"/>
  <c r="O73" i="1"/>
  <c r="T73" i="1"/>
  <c r="T74" i="1"/>
  <c r="Q74" i="1"/>
  <c r="P74" i="1"/>
  <c r="R74" i="1"/>
  <c r="S74" i="1"/>
  <c r="O74" i="1"/>
  <c r="R83" i="1"/>
  <c r="T83" i="1"/>
  <c r="O83" i="1"/>
  <c r="Q83" i="1"/>
  <c r="P83" i="1"/>
  <c r="S83" i="1"/>
  <c r="T85" i="1"/>
  <c r="P85" i="1"/>
  <c r="S85" i="1"/>
  <c r="O85" i="1"/>
  <c r="Q85" i="1"/>
  <c r="R85" i="1"/>
  <c r="N7" i="5" l="1"/>
  <c r="N13" i="5"/>
  <c r="N15" i="5" l="1"/>
  <c r="G15" i="5" s="1"/>
</calcChain>
</file>

<file path=xl/sharedStrings.xml><?xml version="1.0" encoding="utf-8"?>
<sst xmlns="http://schemas.openxmlformats.org/spreadsheetml/2006/main" count="296" uniqueCount="223">
  <si>
    <t>IS</t>
  </si>
  <si>
    <t>deflection</t>
  </si>
  <si>
    <t>mph</t>
  </si>
  <si>
    <t>Allowable Offset to Remain</t>
  </si>
  <si>
    <t>0 ft</t>
  </si>
  <si>
    <t>0.5 ft</t>
  </si>
  <si>
    <t>1.5 ft</t>
  </si>
  <si>
    <t>2 ft</t>
  </si>
  <si>
    <t>2.5 ft</t>
  </si>
  <si>
    <t>1 ft</t>
  </si>
  <si>
    <t>NO</t>
  </si>
  <si>
    <t>OK</t>
  </si>
  <si>
    <t>percentile</t>
  </si>
  <si>
    <t>0 ft offset</t>
  </si>
  <si>
    <t>Vehicle Mass</t>
  </si>
  <si>
    <t>Percent Covered</t>
  </si>
  <si>
    <t>0.5 ft offset</t>
  </si>
  <si>
    <t>Target</t>
  </si>
  <si>
    <t xml:space="preserve">1' Offset </t>
  </si>
  <si>
    <t>Uncovered</t>
  </si>
  <si>
    <t>Traffic Distribution</t>
  </si>
  <si>
    <t>PV</t>
  </si>
  <si>
    <t>SU</t>
  </si>
  <si>
    <t>MU</t>
  </si>
  <si>
    <t>PV3500</t>
  </si>
  <si>
    <t>PV2500</t>
  </si>
  <si>
    <t>PU4400</t>
  </si>
  <si>
    <t>PU5000</t>
  </si>
  <si>
    <t>Offset from TCB to Dropoff</t>
  </si>
  <si>
    <t>Duration</t>
  </si>
  <si>
    <t>ft</t>
  </si>
  <si>
    <t>days</t>
  </si>
  <si>
    <t>Veh/Day</t>
  </si>
  <si>
    <t>Expected Failure Rate</t>
  </si>
  <si>
    <t>Excess Failures</t>
  </si>
  <si>
    <t>%PV</t>
  </si>
  <si>
    <t>%SU</t>
  </si>
  <si>
    <t>%MU</t>
  </si>
  <si>
    <t>(0.0; 0.5; 1.0; 1.5; 2.0; 2.5)</t>
  </si>
  <si>
    <t>Percent Exceeding</t>
  </si>
  <si>
    <t>Weight in pounds</t>
  </si>
  <si>
    <t>Angle in degrees</t>
  </si>
  <si>
    <t>Angle in radians</t>
  </si>
  <si>
    <t>Impact speed mph</t>
  </si>
  <si>
    <t>SI mass kg</t>
  </si>
  <si>
    <t>SI impact speed m/s</t>
  </si>
  <si>
    <t>IS kJ</t>
  </si>
  <si>
    <t>Deflection inches</t>
  </si>
  <si>
    <t>Mass</t>
  </si>
  <si>
    <t>Offset</t>
  </si>
  <si>
    <t>Project Length</t>
  </si>
  <si>
    <t>miles (Affected edge condition)</t>
  </si>
  <si>
    <t>base</t>
  </si>
  <si>
    <t>Base Encroachments</t>
  </si>
  <si>
    <t>encroachments per mile per year</t>
  </si>
  <si>
    <t>Adjustments</t>
  </si>
  <si>
    <t>Multilane Road</t>
  </si>
  <si>
    <t>Number of open lanes in same direction as TCB placement</t>
  </si>
  <si>
    <t>Posted Speed Limit Adjustment</t>
  </si>
  <si>
    <t>Posted WZ Speed Limit</t>
  </si>
  <si>
    <t>Terrain</t>
  </si>
  <si>
    <t>Flat</t>
  </si>
  <si>
    <t>Terrain ("Flat" or "Rolling")</t>
  </si>
  <si>
    <t>Factor</t>
  </si>
  <si>
    <t>Lane Width</t>
  </si>
  <si>
    <t>Round to nearest foot</t>
  </si>
  <si>
    <t>Lane width (ft)</t>
  </si>
  <si>
    <t>Adjusted Total Encroachments</t>
  </si>
  <si>
    <t>AADT (both directions)</t>
  </si>
  <si>
    <t>Encroachments toward TCB</t>
  </si>
  <si>
    <t>Encroachment Model  (Source RSAP V3 Engineer's Manual)</t>
  </si>
  <si>
    <t>Expected Encroachments during Analysis Period (TCB used)</t>
  </si>
  <si>
    <t>Total PV Failures</t>
  </si>
  <si>
    <t>"Normal Failure Rate"</t>
  </si>
  <si>
    <t>"Normal" Failures</t>
  </si>
  <si>
    <t>Normally Expected Failures</t>
  </si>
  <si>
    <t>Excess Expected TCB Failures under Passenger Vehicle Impact</t>
  </si>
  <si>
    <t>TCB Failures for Passenger Vehicles</t>
  </si>
  <si>
    <t>Unpinned Expected Failure Rate</t>
  </si>
  <si>
    <t>Unpinned Expected Failures</t>
  </si>
  <si>
    <t>Tabulation for Givens:</t>
  </si>
  <si>
    <t>Speed Limit = 45 mph or 55 mph</t>
  </si>
  <si>
    <t>Lane Width = 12'</t>
  </si>
  <si>
    <t>Project Length = 1 mile</t>
  </si>
  <si>
    <t>Project Duration = 1 year (365 days)</t>
  </si>
  <si>
    <t>Lanes Open = 1 or 2</t>
  </si>
  <si>
    <t>AADT</t>
  </si>
  <si>
    <t>Multiple of Expected Failure Rate</t>
  </si>
  <si>
    <t>Excess Expected Failures per 1000000 vehicle miles</t>
  </si>
  <si>
    <t>Yes</t>
  </si>
  <si>
    <t>No</t>
  </si>
  <si>
    <t>Weeks</t>
  </si>
  <si>
    <t>If "Yes", how many times?</t>
  </si>
  <si>
    <t>How long is the TCB installation?</t>
  </si>
  <si>
    <t>Miles (Nearest 0.1)</t>
  </si>
  <si>
    <t>What is the offset from the back of the TCB to the drop off?</t>
  </si>
  <si>
    <t>Nearest 0.5 ft.</t>
  </si>
  <si>
    <t>Actual TCB failures</t>
  </si>
  <si>
    <t>Column</t>
  </si>
  <si>
    <t>(Nearest 5000)</t>
  </si>
  <si>
    <t>Expected TCB failure rate if pinned.</t>
  </si>
  <si>
    <t>Expected excess TCB failure rate if not pinned.</t>
  </si>
  <si>
    <t>What is the percentage of Multiple Unit trucks in the AADT?</t>
  </si>
  <si>
    <t>What is the percentage of Single Unit (SU) trucks in the AADT?</t>
  </si>
  <si>
    <t>What is the general alignment along the TCB installation?</t>
  </si>
  <si>
    <t>Some curves, less than 2 degrees.</t>
  </si>
  <si>
    <t>What is the terrain along the installation?</t>
  </si>
  <si>
    <t>Rolling</t>
  </si>
  <si>
    <t>Nearest percent</t>
  </si>
  <si>
    <t>Does the TCB installation length include any exit ramps?</t>
  </si>
  <si>
    <t>Does the TCB installation length include any entrance ramps?</t>
  </si>
  <si>
    <t>How much longer must the TCB installation be used?</t>
  </si>
  <si>
    <t>Projected additional, excess TCB failures if not pinned.</t>
  </si>
  <si>
    <t>Other Site Considerations</t>
  </si>
  <si>
    <t>Predicted TCB failures if pinned (to date)</t>
  </si>
  <si>
    <t>Predicted excess TCB failures unpinned (to date)</t>
  </si>
  <si>
    <t>Projected additional TCB Failures if pinned.</t>
  </si>
  <si>
    <t>Data entry</t>
  </si>
  <si>
    <t>Calculated value</t>
  </si>
  <si>
    <t>Percentile Higher</t>
  </si>
  <si>
    <t>Impact MPH</t>
  </si>
  <si>
    <t>Impact Angle (Degrees</t>
  </si>
  <si>
    <t>Percent Impacting more directly</t>
  </si>
  <si>
    <t>Plotting Data Quoted in MwRSF Study of TCB Deflection Limits</t>
  </si>
  <si>
    <t>Plotting data noted in MwRSF TCB deflection limits study.</t>
  </si>
  <si>
    <t>Primary Consideration</t>
  </si>
  <si>
    <t>Supporting Consideration</t>
  </si>
  <si>
    <t>LOCATIONS WITH NORMAL POSTED SPEED LIMIT OF 55 MPH OR 65 MPH</t>
  </si>
  <si>
    <t>OR OTHER FREEWAY LOCATIONS</t>
  </si>
  <si>
    <t>Predicted Safety Performance</t>
  </si>
  <si>
    <t>PV/Day</t>
  </si>
  <si>
    <t>AADT (PV)</t>
  </si>
  <si>
    <t>What is the total 2 way AADT on the highway?</t>
  </si>
  <si>
    <t>What percentage of the traffic is passenger vehicles, PV?  (Cars, pickups, minivans, SUVs)</t>
  </si>
  <si>
    <t>Data entry warning</t>
  </si>
  <si>
    <t>0 to 100</t>
  </si>
  <si>
    <t>Failure Rate (from calc deflection tab)</t>
  </si>
  <si>
    <t>Predicted Excess TCB Failures to date</t>
  </si>
  <si>
    <t>Predicted excess TCB failures from present to completion.</t>
  </si>
  <si>
    <t>Input/Output</t>
  </si>
  <si>
    <t>Recommendations and Remarks</t>
  </si>
  <si>
    <t>Tangent</t>
  </si>
  <si>
    <t>Some curves, up to 2 degrees.</t>
  </si>
  <si>
    <t>More than 2 degrees.</t>
  </si>
  <si>
    <t>Route</t>
  </si>
  <si>
    <t>Contract</t>
  </si>
  <si>
    <t>Speed percentile</t>
  </si>
  <si>
    <t>Angle percentile</t>
  </si>
  <si>
    <t>sin(angle)</t>
  </si>
  <si>
    <t>Terrain = Flat</t>
  </si>
  <si>
    <t>Has the TCB installation been hit, knocking any TCB unit into the drop off?</t>
  </si>
  <si>
    <t>Has the TCB installation been hit, knocking any TCB unit into the drop off and resulting in injury to anyone?</t>
  </si>
  <si>
    <t>Definition:  Rolling Terrain:</t>
  </si>
  <si>
    <t>The natural slopes consistently rise above and fall below the roadway</t>
  </si>
  <si>
    <t>gradeline and, occasionally, steep grades present some restriction to the desirable</t>
  </si>
  <si>
    <t>horizontal and vertical alignment. In general, rolling terrain generates steeper grades</t>
  </si>
  <si>
    <t>causing trucks to reduce speeds below those of passenger cars.</t>
  </si>
  <si>
    <t>Rolling or Rugged</t>
  </si>
  <si>
    <t>Definition: Rugged Terrain:</t>
  </si>
  <si>
    <t>benching and side hill excavation are usually required to provide the desirable horizontal</t>
  </si>
  <si>
    <t>and vertical alignment. Rugged terrain aggravates the performance of trucks relative to</t>
  </si>
  <si>
    <t>passenger cars and results in some trucks operating at crawl speeds.</t>
  </si>
  <si>
    <t>Longitudinal and transverse changes in elevation are abrupt, and</t>
  </si>
  <si>
    <t>Dated:</t>
  </si>
  <si>
    <t>Instructions for Using the Spreadsheet for Guidance on Pinning TCB</t>
  </si>
  <si>
    <t>Yellow</t>
  </si>
  <si>
    <t>cells are for data entry by the user.</t>
  </si>
  <si>
    <t>The first section about deflection of existing installations of TCB is only used for risk analysis of work underway during implementation of the new policy.  Leave this part blank, or</t>
  </si>
  <si>
    <t>with zero values for use in Phase I or Phase II analysis.</t>
  </si>
  <si>
    <t>Blue</t>
  </si>
  <si>
    <t>Red</t>
  </si>
  <si>
    <t>Orange</t>
  </si>
  <si>
    <t>cells show results that tend to support pinning of TCB</t>
  </si>
  <si>
    <t>cells show a data entry inconsistency, and a suggestion on how to correct it.</t>
  </si>
  <si>
    <t>Data Requirements:</t>
  </si>
  <si>
    <t xml:space="preserve">There is no fixed source for information about how many times the existing TCB (unpinned) has been knocked into the excavation.  Use the project diary, ask the contractor, local law enforcement, </t>
  </si>
  <si>
    <t>The projected time remaining should be in weeks of TCB exposure to traffic.  These time estimates should include any changes in staging to arrive at the total TCB exposure time.</t>
  </si>
  <si>
    <t>Enter the length of the TCB exposure in miles, to the nearest 0.1 of a mile.</t>
  </si>
  <si>
    <t xml:space="preserve">The total ADT on the facility must be for both directions (the analysis will break it down by directions 50/50).  If the directional split is significant, enter the total ADT as a value twice the directional ADT </t>
  </si>
  <si>
    <t>protected by the TCB.</t>
  </si>
  <si>
    <t>SPREADSHEET FOR GUIDANCE ON PINNING TCB</t>
  </si>
  <si>
    <t>THIS IS NOT TO BE USED FOR BRIDGE DECKS OR SIMILAR LOCATIONS</t>
  </si>
  <si>
    <t>The percentage of multiple unit trucks (MU) and single unit trucks (SU) must be entered as values from 0 to 100.  These values may be located in sources such as contract plans, design studies,</t>
  </si>
  <si>
    <t>IDOT roadway inventory (IROADS).</t>
  </si>
  <si>
    <t xml:space="preserve">The PV percentage is the percentage value (0 to 100) of cars plus pickup trucks plus SUVs plus vans/minivans.  This value should be available in contract plans, and/or design reports, or from IROADS.  </t>
  </si>
  <si>
    <t>The terrain definitions are given on the spreadsheet and are the definitions from the IDOT BDE Manual.</t>
  </si>
  <si>
    <t>Choose an alignment category that represents typical project conditions.  If the alignment includes a wide variety of conditions, then each of the applicable alignment</t>
  </si>
  <si>
    <t>conditions may be analyzed and decisions for pinning may vary by curve location.</t>
  </si>
  <si>
    <t>Presence of entrance and exit ramps includes the ramp terminal areas and a length of 1 mile upstream of exits and 1 mile downstream of entrance ramp terminals.  So it is possible that entrance or exit</t>
  </si>
  <si>
    <t>ramps beyond the limits of TCB may affect pinning decisions.</t>
  </si>
  <si>
    <t>Encroachments toward TCB during analysis period and length</t>
  </si>
  <si>
    <t>Unpinned Failure Rate per mile year</t>
  </si>
  <si>
    <t>Design Vehicle Distribution</t>
  </si>
  <si>
    <t>Design Vehicle Evaluation Weight Classes</t>
  </si>
  <si>
    <t>Expected Failure Rate*</t>
  </si>
  <si>
    <t>Updated:</t>
  </si>
  <si>
    <t>Corrected calculation bug.  Corrected formulae and conditional formatting</t>
  </si>
  <si>
    <t>for some of the supporting considerations.</t>
  </si>
  <si>
    <t>cell shows the expected excess TCB failure events.  If this value is 0.50 or greater, pinning of TCB is recommended, and other factors must be weighed.</t>
  </si>
  <si>
    <t>cells show results that also indicate a recommendation to use pinning of TCB.</t>
  </si>
  <si>
    <t>A word</t>
  </si>
  <si>
    <t>Changed cell formatting for legibility in black and white printing.</t>
  </si>
  <si>
    <t>AND</t>
  </si>
  <si>
    <t>Project Phase</t>
  </si>
  <si>
    <t>Phase I</t>
  </si>
  <si>
    <t>Phase II</t>
  </si>
  <si>
    <t>Account for application in Phase I, Phase II or Other.</t>
  </si>
  <si>
    <t>from zero to 2.5 ft for evaluation of Phase II projects let before January 1, 2015.  For other Phases, and for any project let after January 1, 2015, this entry may be from 1.0 to 2.5 ft.</t>
  </si>
  <si>
    <r>
      <t xml:space="preserve">This spreadsheet is applicable for projects scheduled for letting or Operations work after July 1, 2015  to evaluate the risk associated with placing TCB with the back of the TCB </t>
    </r>
    <r>
      <rPr>
        <b/>
        <sz val="11"/>
        <color theme="1"/>
        <rFont val="Calibri"/>
        <family val="2"/>
        <scheme val="minor"/>
      </rPr>
      <t>located from 12 in. to 24 in. (inclusive) from the edge of a drop-off.</t>
    </r>
  </si>
  <si>
    <r>
      <t xml:space="preserve">This spreadsheet is also applicable for projects in </t>
    </r>
    <r>
      <rPr>
        <b/>
        <sz val="11"/>
        <color theme="1"/>
        <rFont val="Calibri"/>
        <family val="2"/>
        <scheme val="minor"/>
      </rPr>
      <t xml:space="preserve">Phase III </t>
    </r>
    <r>
      <rPr>
        <sz val="11"/>
        <color theme="1"/>
        <rFont val="Calibri"/>
        <family val="2"/>
        <scheme val="minor"/>
      </rPr>
      <t xml:space="preserve">that were let before July 1, 2015 to evaluate the risk associated with placing or keeping TCB </t>
    </r>
    <r>
      <rPr>
        <b/>
        <sz val="11"/>
        <color theme="1"/>
        <rFont val="Calibri"/>
        <family val="2"/>
        <scheme val="minor"/>
      </rPr>
      <t>with the back of TCB located from 0 in. to 24 in. (inclusive) from the edge of a drop-off</t>
    </r>
    <r>
      <rPr>
        <sz val="11"/>
        <color theme="1"/>
        <rFont val="Calibri"/>
        <family val="2"/>
        <scheme val="minor"/>
      </rPr>
      <t>.</t>
    </r>
  </si>
  <si>
    <t>and other project personnel for their recollection and experience.  This information is not required for Phase I or Phase II risk assessment.</t>
  </si>
  <si>
    <t>For projects in Phase III, the time duration of the installation is in calendar weeks of exposure of the TCB to traffic.  Round to the nearest week.  The projected remaining time should be based on the current project schedule.</t>
  </si>
  <si>
    <t>This information is not required for Phase I or Phase II risk assessments.</t>
  </si>
  <si>
    <t xml:space="preserve">The offset from the back of the TCB (where it contacts the pavement, shoulder or other surface) to the edge of the drop off is based on the existing or proposed installation.  Enter this value in increments of 0.5', rounding down.  This entry may be </t>
  </si>
  <si>
    <t>Phase III</t>
  </si>
  <si>
    <t>Safety Performance to Date of Existing Unpinned TCB  (PHASE III ONLY)</t>
  </si>
  <si>
    <t>How long has the TCB installation been in place? (PHASE III ONLY.)</t>
  </si>
  <si>
    <t>MESSAGE</t>
  </si>
  <si>
    <t>Integer</t>
  </si>
  <si>
    <t>1/9/2015 &amp; 1/13/2015</t>
  </si>
  <si>
    <t>Corrected reference to project phases.  Added checking for data appropriate to project phases.</t>
  </si>
  <si>
    <t>Corrected a cell "fill" color in instruction worksheet.</t>
  </si>
  <si>
    <t>Black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</si>
</sst>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10" x14ac:knownFonts="1">
    <font>
      <sz val="11"/>
      <color theme="1"/>
      <name val="Calibri"/>
      <family val="2"/>
      <scheme val="minor"/>
    </font>
    <font>
      <b/>
      <sz val="11"/>
      <color theme="1"/>
      <name val="Calibri"/>
      <family val="2"/>
      <scheme val="minor"/>
    </font>
    <font>
      <sz val="11"/>
      <color theme="4" tint="-0.24994659260841701"/>
      <name val="Calibri"/>
      <family val="2"/>
      <scheme val="minor"/>
    </font>
    <font>
      <b/>
      <u/>
      <sz val="14"/>
      <color theme="1"/>
      <name val="Calibri"/>
      <family val="2"/>
      <scheme val="minor"/>
    </font>
    <font>
      <b/>
      <u/>
      <sz val="11"/>
      <color theme="1"/>
      <name val="Calibri"/>
      <family val="2"/>
      <scheme val="minor"/>
    </font>
    <font>
      <u/>
      <sz val="11"/>
      <color theme="1"/>
      <name val="Calibri"/>
      <family val="2"/>
      <scheme val="minor"/>
    </font>
    <font>
      <b/>
      <i/>
      <u val="double"/>
      <sz val="16"/>
      <color theme="1"/>
      <name val="Calibri"/>
      <family val="2"/>
      <scheme val="minor"/>
    </font>
    <font>
      <i/>
      <u val="double"/>
      <sz val="11"/>
      <color theme="1"/>
      <name val="Calibri"/>
      <family val="2"/>
      <scheme val="minor"/>
    </font>
    <font>
      <b/>
      <sz val="11"/>
      <color theme="0"/>
      <name val="Calibri"/>
      <family val="2"/>
      <scheme val="minor"/>
    </font>
    <font>
      <sz val="11"/>
      <color theme="0"/>
      <name val="Calibri"/>
      <family val="2"/>
      <scheme val="minor"/>
    </font>
  </fonts>
  <fills count="1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gray0625"/>
    </fill>
    <fill>
      <patternFill patternType="darkGray">
        <bgColor theme="1"/>
      </patternFill>
    </fill>
    <fill>
      <patternFill patternType="solid">
        <fgColor rgb="FFC2D6F4"/>
        <bgColor indexed="64"/>
      </patternFill>
    </fill>
    <fill>
      <patternFill patternType="solid">
        <fgColor theme="1"/>
        <bgColor indexed="64"/>
      </patternFill>
    </fill>
    <fill>
      <patternFill patternType="gray125">
        <bgColor theme="0"/>
      </patternFill>
    </fill>
    <fill>
      <patternFill patternType="gray0625">
        <fgColor theme="0" tint="-0.14996795556505021"/>
        <bgColor theme="0"/>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81">
    <xf numFmtId="0" fontId="0" fillId="0" borderId="0" xfId="0"/>
    <xf numFmtId="0" fontId="0" fillId="0" borderId="0" xfId="0" applyAlignment="1">
      <alignment horizontal="center"/>
    </xf>
    <xf numFmtId="164" fontId="0" fillId="0" borderId="0" xfId="0" applyNumberFormat="1"/>
    <xf numFmtId="165" fontId="0" fillId="0" borderId="0" xfId="0" applyNumberFormat="1"/>
    <xf numFmtId="0" fontId="1" fillId="0" borderId="0" xfId="0" applyFont="1"/>
    <xf numFmtId="0" fontId="0" fillId="0" borderId="0" xfId="0" applyFont="1"/>
    <xf numFmtId="0" fontId="0" fillId="2" borderId="0" xfId="0" applyFill="1"/>
    <xf numFmtId="164" fontId="0" fillId="2" borderId="0" xfId="0" applyNumberFormat="1" applyFill="1"/>
    <xf numFmtId="0" fontId="0" fillId="0" borderId="0" xfId="0" applyAlignment="1">
      <alignment wrapText="1"/>
    </xf>
    <xf numFmtId="166" fontId="0" fillId="0" borderId="0" xfId="0" applyNumberFormat="1"/>
    <xf numFmtId="0" fontId="2" fillId="0" borderId="0" xfId="0" applyFont="1"/>
    <xf numFmtId="0" fontId="2" fillId="0" borderId="0" xfId="0" quotePrefix="1" applyFont="1"/>
    <xf numFmtId="0" fontId="2" fillId="0" borderId="0" xfId="0" applyFont="1" applyAlignment="1">
      <alignment wrapText="1"/>
    </xf>
    <xf numFmtId="0" fontId="0" fillId="3" borderId="0" xfId="0" applyFill="1" applyAlignment="1">
      <alignment wrapText="1"/>
    </xf>
    <xf numFmtId="0" fontId="0" fillId="3" borderId="0" xfId="0" applyFill="1" applyAlignment="1">
      <alignment horizontal="right" wrapText="1"/>
    </xf>
    <xf numFmtId="166" fontId="0" fillId="4" borderId="0" xfId="0" applyNumberFormat="1" applyFill="1"/>
    <xf numFmtId="2"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Protection="1">
      <protection locked="0"/>
    </xf>
    <xf numFmtId="0" fontId="0" fillId="3" borderId="0" xfId="0" applyFill="1" applyAlignment="1" applyProtection="1">
      <alignment horizontal="center"/>
      <protection locked="0"/>
    </xf>
    <xf numFmtId="0" fontId="0" fillId="4" borderId="0" xfId="0" applyFill="1" applyProtection="1">
      <protection locked="0"/>
    </xf>
    <xf numFmtId="0" fontId="0" fillId="3" borderId="0" xfId="0" applyFill="1" applyProtection="1">
      <protection locked="0"/>
    </xf>
    <xf numFmtId="0" fontId="0" fillId="0" borderId="0" xfId="0" applyProtection="1"/>
    <xf numFmtId="0" fontId="0" fillId="0" borderId="3" xfId="0" applyBorder="1" applyProtection="1"/>
    <xf numFmtId="0" fontId="0" fillId="0" borderId="2" xfId="0" applyBorder="1" applyProtection="1"/>
    <xf numFmtId="0" fontId="0" fillId="0" borderId="4" xfId="0" applyBorder="1" applyProtection="1"/>
    <xf numFmtId="0" fontId="0" fillId="0" borderId="1" xfId="0" applyBorder="1" applyProtection="1"/>
    <xf numFmtId="0" fontId="0" fillId="0" borderId="1" xfId="0" applyFill="1" applyBorder="1" applyProtection="1"/>
    <xf numFmtId="0" fontId="3" fillId="0" borderId="0" xfId="0" applyFont="1" applyProtection="1"/>
    <xf numFmtId="0" fontId="0" fillId="3" borderId="1" xfId="0" applyFill="1" applyBorder="1" applyProtection="1"/>
    <xf numFmtId="0" fontId="0" fillId="4" borderId="1" xfId="0" applyFill="1" applyBorder="1" applyProtection="1"/>
    <xf numFmtId="0" fontId="0" fillId="6" borderId="1" xfId="0" applyFill="1" applyBorder="1" applyProtection="1"/>
    <xf numFmtId="0" fontId="0" fillId="7" borderId="1" xfId="0" applyFill="1" applyBorder="1" applyProtection="1"/>
    <xf numFmtId="0" fontId="0" fillId="8" borderId="1" xfId="0" applyFill="1" applyBorder="1" applyProtection="1"/>
    <xf numFmtId="0" fontId="0" fillId="0" borderId="0" xfId="0" applyAlignment="1" applyProtection="1">
      <alignment wrapText="1"/>
    </xf>
    <xf numFmtId="0" fontId="0" fillId="0" borderId="0" xfId="0" applyAlignment="1" applyProtection="1">
      <alignment horizontal="right"/>
    </xf>
    <xf numFmtId="0" fontId="0" fillId="9" borderId="0" xfId="0" applyFill="1"/>
    <xf numFmtId="166" fontId="0" fillId="5" borderId="0" xfId="0" applyNumberFormat="1" applyFill="1"/>
    <xf numFmtId="0" fontId="0" fillId="3" borderId="0" xfId="0" applyFill="1" applyAlignment="1" applyProtection="1">
      <alignment wrapText="1"/>
      <protection locked="0"/>
    </xf>
    <xf numFmtId="0" fontId="4" fillId="0" borderId="0" xfId="0" applyFont="1" applyAlignment="1" applyProtection="1">
      <alignment horizontal="center" wrapText="1"/>
    </xf>
    <xf numFmtId="0" fontId="0" fillId="0" borderId="0" xfId="0" applyAlignment="1" applyProtection="1">
      <alignment wrapText="1"/>
      <protection locked="0"/>
    </xf>
    <xf numFmtId="0" fontId="0" fillId="0" borderId="0" xfId="0" applyFill="1"/>
    <xf numFmtId="0" fontId="0" fillId="6" borderId="0" xfId="0" applyFill="1"/>
    <xf numFmtId="0" fontId="0" fillId="7" borderId="0" xfId="0" applyFill="1"/>
    <xf numFmtId="0" fontId="0" fillId="3" borderId="0" xfId="0" applyFill="1"/>
    <xf numFmtId="0" fontId="0" fillId="4" borderId="0" xfId="0" applyFill="1"/>
    <xf numFmtId="0" fontId="5" fillId="0" borderId="0" xfId="0" applyFont="1"/>
    <xf numFmtId="0" fontId="1" fillId="3" borderId="1" xfId="0" applyFont="1" applyFill="1" applyBorder="1" applyProtection="1"/>
    <xf numFmtId="0" fontId="1" fillId="4" borderId="1" xfId="0" applyFont="1" applyFill="1" applyBorder="1" applyProtection="1"/>
    <xf numFmtId="0" fontId="1" fillId="6" borderId="1" xfId="0" applyFont="1" applyFill="1" applyBorder="1" applyProtection="1"/>
    <xf numFmtId="0" fontId="1" fillId="7" borderId="1" xfId="0" applyFont="1" applyFill="1" applyBorder="1" applyProtection="1"/>
    <xf numFmtId="0" fontId="1" fillId="8" borderId="1" xfId="0" applyFont="1" applyFill="1" applyBorder="1" applyProtection="1"/>
    <xf numFmtId="0" fontId="1" fillId="10" borderId="1" xfId="0" applyFont="1" applyFill="1" applyBorder="1"/>
    <xf numFmtId="0" fontId="1" fillId="1" borderId="1" xfId="0" applyFont="1" applyFill="1" applyBorder="1"/>
    <xf numFmtId="0" fontId="8" fillId="11" borderId="1" xfId="0" applyFont="1" applyFill="1" applyBorder="1"/>
    <xf numFmtId="0" fontId="1" fillId="12" borderId="1" xfId="0" applyFont="1" applyFill="1" applyBorder="1" applyProtection="1"/>
    <xf numFmtId="2" fontId="1" fillId="12" borderId="1" xfId="0" applyNumberFormat="1" applyFont="1" applyFill="1" applyBorder="1" applyAlignment="1" applyProtection="1">
      <alignment horizontal="center"/>
    </xf>
    <xf numFmtId="0" fontId="1" fillId="12" borderId="1" xfId="0" applyFont="1" applyFill="1" applyBorder="1" applyAlignment="1" applyProtection="1">
      <alignment horizontal="center"/>
    </xf>
    <xf numFmtId="0" fontId="0" fillId="14" borderId="1" xfId="0" applyFill="1" applyBorder="1" applyProtection="1"/>
    <xf numFmtId="0" fontId="0" fillId="15" borderId="1" xfId="0" applyFill="1" applyBorder="1" applyProtection="1"/>
    <xf numFmtId="0" fontId="9" fillId="13" borderId="1" xfId="0" applyFont="1" applyFill="1" applyBorder="1" applyProtection="1"/>
    <xf numFmtId="0" fontId="9" fillId="13" borderId="0" xfId="0" applyFont="1" applyFill="1"/>
    <xf numFmtId="14" fontId="0" fillId="0" borderId="0" xfId="0" applyNumberFormat="1" applyAlignment="1" applyProtection="1">
      <alignment horizontal="left"/>
    </xf>
    <xf numFmtId="14" fontId="0" fillId="0" borderId="0" xfId="0" applyNumberFormat="1" applyAlignment="1" applyProtection="1">
      <alignment horizontal="left"/>
      <protection locked="0"/>
    </xf>
    <xf numFmtId="0" fontId="0" fillId="0" borderId="0" xfId="0" applyAlignment="1" applyProtection="1">
      <alignment horizontal="left"/>
    </xf>
    <xf numFmtId="14" fontId="0" fillId="0" borderId="0" xfId="0" applyNumberFormat="1" applyAlignment="1" applyProtection="1">
      <alignment horizontal="left" wrapText="1"/>
      <protection locked="0"/>
    </xf>
    <xf numFmtId="0" fontId="0" fillId="0" borderId="0" xfId="0" applyAlignment="1">
      <alignment horizontal="center" wrapText="1"/>
    </xf>
    <xf numFmtId="0" fontId="0" fillId="0" borderId="0" xfId="0" applyAlignment="1">
      <alignment horizontal="center"/>
    </xf>
    <xf numFmtId="0" fontId="4"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center"/>
    </xf>
    <xf numFmtId="0" fontId="7" fillId="0" borderId="0" xfId="0" applyFont="1" applyAlignment="1">
      <alignment horizontal="center"/>
    </xf>
    <xf numFmtId="0" fontId="7" fillId="0" borderId="5" xfId="0" applyFont="1" applyBorder="1" applyAlignment="1">
      <alignment horizontal="center"/>
    </xf>
    <xf numFmtId="0" fontId="0" fillId="0" borderId="0" xfId="0" applyAlignment="1" applyProtection="1"/>
    <xf numFmtId="0" fontId="0" fillId="0" borderId="0" xfId="0" applyAlignment="1"/>
    <xf numFmtId="0" fontId="3" fillId="0" borderId="0" xfId="0" applyFont="1" applyAlignment="1" applyProtection="1">
      <alignment horizontal="center"/>
    </xf>
    <xf numFmtId="0" fontId="0" fillId="0" borderId="5" xfId="0" applyBorder="1" applyAlignment="1" applyProtection="1">
      <alignment horizontal="center"/>
    </xf>
    <xf numFmtId="0" fontId="0" fillId="0" borderId="3" xfId="0" applyFill="1" applyBorder="1" applyAlignment="1" applyProtection="1"/>
    <xf numFmtId="0" fontId="0" fillId="0" borderId="2" xfId="0" applyBorder="1" applyAlignment="1" applyProtection="1"/>
    <xf numFmtId="0" fontId="0" fillId="0" borderId="4" xfId="0" applyBorder="1" applyAlignment="1" applyProtection="1"/>
  </cellXfs>
  <cellStyles count="1">
    <cellStyle name="Normal" xfId="0" builtinId="0"/>
  </cellStyles>
  <dxfs count="24">
    <dxf>
      <font>
        <strike val="0"/>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b/>
        <i val="0"/>
      </font>
      <fill>
        <patternFill patternType="gray125">
          <bgColor auto="1"/>
        </patternFill>
      </fill>
    </dxf>
    <dxf>
      <font>
        <color theme="0"/>
      </font>
      <fill>
        <patternFill>
          <bgColor theme="1"/>
        </patternFill>
      </fill>
    </dxf>
    <dxf>
      <font>
        <color theme="0"/>
      </font>
      <fill>
        <patternFill>
          <bgColor theme="1"/>
        </patternFill>
      </fill>
    </dxf>
    <dxf>
      <font>
        <b/>
        <i val="0"/>
      </font>
      <fill>
        <patternFill patternType="gray0625">
          <fgColor theme="0" tint="-0.14996795556505021"/>
          <bgColor theme="0"/>
        </patternFill>
      </fill>
    </dxf>
    <dxf>
      <font>
        <b/>
        <i val="0"/>
      </font>
      <fill>
        <patternFill patternType="gray125">
          <bgColor auto="1"/>
        </patternFill>
      </fill>
    </dxf>
    <dxf>
      <fill>
        <patternFill>
          <bgColor rgb="FFFFC000"/>
        </patternFill>
      </fill>
    </dxf>
    <dxf>
      <font>
        <b/>
        <i val="0"/>
      </font>
      <fill>
        <patternFill patternType="gray125">
          <bgColor auto="1"/>
        </patternFill>
      </fill>
    </dxf>
    <dxf>
      <font>
        <b/>
        <i val="0"/>
        <color theme="0"/>
      </font>
      <fill>
        <patternFill patternType="solid">
          <bgColor theme="1"/>
        </patternFill>
      </fill>
    </dxf>
    <dxf>
      <font>
        <b/>
        <i val="0"/>
      </font>
      <fill>
        <patternFill patternType="gray0625">
          <fgColor theme="0" tint="-0.14996795556505021"/>
          <bgColor theme="0"/>
        </patternFill>
      </fill>
    </dxf>
    <dxf>
      <font>
        <b/>
        <i val="0"/>
      </font>
      <fill>
        <patternFill patternType="gray125">
          <bgColor auto="1"/>
        </patternFill>
      </fill>
    </dxf>
    <dxf>
      <font>
        <b/>
        <i val="0"/>
      </font>
      <fill>
        <patternFill patternType="gray125">
          <bgColor auto="1"/>
        </patternFill>
      </fill>
    </dxf>
    <dxf>
      <font>
        <b/>
        <i val="0"/>
      </font>
      <fill>
        <patternFill patternType="gray125">
          <bgColor auto="1"/>
        </patternFill>
      </fill>
    </dxf>
    <dxf>
      <font>
        <b/>
        <i val="0"/>
      </font>
      <fill>
        <patternFill patternType="gray125">
          <bgColor auto="1"/>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2F2F2"/>
      <color rgb="FFE4E4E4"/>
      <color rgb="FFCCFFCC"/>
      <color rgb="FF66FF66"/>
      <color rgb="FF99FF99"/>
      <color rgb="FFFFFFCC"/>
      <color rgb="FFC2D6F4"/>
      <color rgb="FFC3D9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MwRSF</a:t>
            </a:r>
            <a:r>
              <a:rPr lang="en-US" sz="1400" baseline="0"/>
              <a:t> TCB Deflection and Impact Severity</a:t>
            </a:r>
            <a:endParaRPr lang="en-US" sz="1400"/>
          </a:p>
        </c:rich>
      </c:tx>
      <c:layout/>
      <c:overlay val="0"/>
    </c:title>
    <c:autoTitleDeleted val="0"/>
    <c:plotArea>
      <c:layout/>
      <c:scatterChart>
        <c:scatterStyle val="smoothMarker"/>
        <c:varyColors val="0"/>
        <c:ser>
          <c:idx val="0"/>
          <c:order val="0"/>
          <c:tx>
            <c:strRef>
              <c:f>'Calc Deflection'!$I$2</c:f>
              <c:strCache>
                <c:ptCount val="1"/>
                <c:pt idx="0">
                  <c:v>deflection</c:v>
                </c:pt>
              </c:strCache>
            </c:strRef>
          </c:tx>
          <c:trendline>
            <c:trendlineType val="poly"/>
            <c:order val="2"/>
            <c:dispRSqr val="0"/>
            <c:dispEq val="1"/>
            <c:trendlineLbl>
              <c:layout>
                <c:manualLayout>
                  <c:x val="-0.15364741907261592"/>
                  <c:y val="1.3645742198891805E-2"/>
                </c:manualLayout>
              </c:layout>
              <c:numFmt formatCode="General" sourceLinked="0"/>
            </c:trendlineLbl>
          </c:trendline>
          <c:xVal>
            <c:numRef>
              <c:f>'Calc Deflection'!$E$3:$E$5</c:f>
              <c:numCache>
                <c:formatCode>General</c:formatCode>
                <c:ptCount val="3"/>
                <c:pt idx="0">
                  <c:v>138</c:v>
                </c:pt>
                <c:pt idx="1">
                  <c:v>55</c:v>
                </c:pt>
                <c:pt idx="2">
                  <c:v>0</c:v>
                </c:pt>
              </c:numCache>
            </c:numRef>
          </c:xVal>
          <c:yVal>
            <c:numRef>
              <c:f>'Calc Deflection'!$I$3:$I$5</c:f>
              <c:numCache>
                <c:formatCode>General</c:formatCode>
                <c:ptCount val="3"/>
                <c:pt idx="0">
                  <c:v>45.3</c:v>
                </c:pt>
                <c:pt idx="1">
                  <c:v>24</c:v>
                </c:pt>
                <c:pt idx="2">
                  <c:v>0</c:v>
                </c:pt>
              </c:numCache>
            </c:numRef>
          </c:yVal>
          <c:smooth val="1"/>
        </c:ser>
        <c:dLbls>
          <c:showLegendKey val="0"/>
          <c:showVal val="0"/>
          <c:showCatName val="0"/>
          <c:showSerName val="0"/>
          <c:showPercent val="0"/>
          <c:showBubbleSize val="0"/>
        </c:dLbls>
        <c:axId val="102323712"/>
        <c:axId val="102325632"/>
      </c:scatterChart>
      <c:valAx>
        <c:axId val="102323712"/>
        <c:scaling>
          <c:orientation val="minMax"/>
        </c:scaling>
        <c:delete val="0"/>
        <c:axPos val="b"/>
        <c:title>
          <c:tx>
            <c:rich>
              <a:bodyPr/>
              <a:lstStyle/>
              <a:p>
                <a:pPr>
                  <a:defRPr/>
                </a:pPr>
                <a:r>
                  <a:rPr lang="en-US"/>
                  <a:t>Impact Severity (kJ)</a:t>
                </a:r>
              </a:p>
            </c:rich>
          </c:tx>
          <c:layout/>
          <c:overlay val="0"/>
        </c:title>
        <c:numFmt formatCode="General" sourceLinked="1"/>
        <c:majorTickMark val="none"/>
        <c:minorTickMark val="none"/>
        <c:tickLblPos val="nextTo"/>
        <c:crossAx val="102325632"/>
        <c:crosses val="autoZero"/>
        <c:crossBetween val="midCat"/>
      </c:valAx>
      <c:valAx>
        <c:axId val="102325632"/>
        <c:scaling>
          <c:orientation val="minMax"/>
        </c:scaling>
        <c:delete val="0"/>
        <c:axPos val="l"/>
        <c:majorGridlines/>
        <c:title>
          <c:tx>
            <c:rich>
              <a:bodyPr/>
              <a:lstStyle/>
              <a:p>
                <a:pPr>
                  <a:defRPr/>
                </a:pPr>
                <a:r>
                  <a:rPr lang="en-US"/>
                  <a:t>Deflection (Inches)</a:t>
                </a:r>
              </a:p>
            </c:rich>
          </c:tx>
          <c:layout/>
          <c:overlay val="0"/>
        </c:title>
        <c:numFmt formatCode="General" sourceLinked="1"/>
        <c:majorTickMark val="none"/>
        <c:minorTickMark val="none"/>
        <c:tickLblPos val="nextTo"/>
        <c:crossAx val="102323712"/>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Excess Failure Rate (per year per mile) for Unpinned TCB at Listed Offset to Drop Off</a:t>
            </a:r>
            <a:r>
              <a:rPr lang="en-US" baseline="0"/>
              <a:t> i</a:t>
            </a:r>
            <a:r>
              <a:rPr lang="en-US"/>
              <a:t>n One</a:t>
            </a:r>
            <a:r>
              <a:rPr lang="en-US" baseline="0"/>
              <a:t> Direction Only</a:t>
            </a:r>
            <a:endParaRPr lang="en-US"/>
          </a:p>
        </c:rich>
      </c:tx>
      <c:layout/>
      <c:overlay val="0"/>
    </c:title>
    <c:autoTitleDeleted val="0"/>
    <c:plotArea>
      <c:layout/>
      <c:scatterChart>
        <c:scatterStyle val="smoothMarker"/>
        <c:varyColors val="0"/>
        <c:ser>
          <c:idx val="0"/>
          <c:order val="0"/>
          <c:tx>
            <c:strRef>
              <c:f>'Rate calculations'!$E$12</c:f>
              <c:strCache>
                <c:ptCount val="1"/>
                <c:pt idx="0">
                  <c:v>0 ft</c:v>
                </c:pt>
              </c:strCache>
            </c:strRef>
          </c:tx>
          <c:xVal>
            <c:numRef>
              <c:f>'Rate calculations'!$C$13:$C$22</c:f>
              <c:numCache>
                <c:formatCode>General</c:formatCode>
                <c:ptCount val="10"/>
                <c:pt idx="0">
                  <c:v>5000</c:v>
                </c:pt>
                <c:pt idx="1">
                  <c:v>10000</c:v>
                </c:pt>
                <c:pt idx="2">
                  <c:v>15000</c:v>
                </c:pt>
                <c:pt idx="3">
                  <c:v>20000</c:v>
                </c:pt>
                <c:pt idx="4">
                  <c:v>25000</c:v>
                </c:pt>
                <c:pt idx="5">
                  <c:v>30000</c:v>
                </c:pt>
                <c:pt idx="6">
                  <c:v>35000</c:v>
                </c:pt>
                <c:pt idx="7">
                  <c:v>40000</c:v>
                </c:pt>
                <c:pt idx="8">
                  <c:v>45000</c:v>
                </c:pt>
                <c:pt idx="9">
                  <c:v>50000</c:v>
                </c:pt>
              </c:numCache>
            </c:numRef>
          </c:xVal>
          <c:yVal>
            <c:numRef>
              <c:f>'Rate calculations'!$E$13:$E$22</c:f>
              <c:numCache>
                <c:formatCode>0.0000</c:formatCode>
                <c:ptCount val="10"/>
                <c:pt idx="0">
                  <c:v>0.55889436308663709</c:v>
                </c:pt>
                <c:pt idx="1">
                  <c:v>0.90939999999999999</c:v>
                </c:pt>
                <c:pt idx="2">
                  <c:v>1.1095999999999999</c:v>
                </c:pt>
                <c:pt idx="3">
                  <c:v>1.2036</c:v>
                </c:pt>
                <c:pt idx="4">
                  <c:v>1.224</c:v>
                </c:pt>
                <c:pt idx="5">
                  <c:v>1.1948000000000001</c:v>
                </c:pt>
                <c:pt idx="6">
                  <c:v>1.1339999999999999</c:v>
                </c:pt>
                <c:pt idx="7">
                  <c:v>1.0542</c:v>
                </c:pt>
                <c:pt idx="8">
                  <c:v>1.1858787281249998</c:v>
                </c:pt>
                <c:pt idx="9">
                  <c:v>1.3176430312499998</c:v>
                </c:pt>
              </c:numCache>
            </c:numRef>
          </c:yVal>
          <c:smooth val="1"/>
        </c:ser>
        <c:ser>
          <c:idx val="1"/>
          <c:order val="1"/>
          <c:tx>
            <c:strRef>
              <c:f>'Rate calculations'!$F$12</c:f>
              <c:strCache>
                <c:ptCount val="1"/>
                <c:pt idx="0">
                  <c:v>0.5 ft</c:v>
                </c:pt>
              </c:strCache>
            </c:strRef>
          </c:tx>
          <c:xVal>
            <c:numRef>
              <c:f>'Rate calculations'!$C$13:$C$22</c:f>
              <c:numCache>
                <c:formatCode>General</c:formatCode>
                <c:ptCount val="10"/>
                <c:pt idx="0">
                  <c:v>5000</c:v>
                </c:pt>
                <c:pt idx="1">
                  <c:v>10000</c:v>
                </c:pt>
                <c:pt idx="2">
                  <c:v>15000</c:v>
                </c:pt>
                <c:pt idx="3">
                  <c:v>20000</c:v>
                </c:pt>
                <c:pt idx="4">
                  <c:v>25000</c:v>
                </c:pt>
                <c:pt idx="5">
                  <c:v>30000</c:v>
                </c:pt>
                <c:pt idx="6">
                  <c:v>35000</c:v>
                </c:pt>
                <c:pt idx="7">
                  <c:v>40000</c:v>
                </c:pt>
                <c:pt idx="8">
                  <c:v>45000</c:v>
                </c:pt>
                <c:pt idx="9">
                  <c:v>50000</c:v>
                </c:pt>
              </c:numCache>
            </c:numRef>
          </c:xVal>
          <c:yVal>
            <c:numRef>
              <c:f>'Rate calculations'!$F$13:$F$22</c:f>
              <c:numCache>
                <c:formatCode>0.0000</c:formatCode>
                <c:ptCount val="10"/>
                <c:pt idx="0">
                  <c:v>0.33214293577720155</c:v>
                </c:pt>
                <c:pt idx="1">
                  <c:v>0.54039999999999999</c:v>
                </c:pt>
                <c:pt idx="2">
                  <c:v>0.65939999999999999</c:v>
                </c:pt>
                <c:pt idx="3">
                  <c:v>0.71519999999999995</c:v>
                </c:pt>
                <c:pt idx="4">
                  <c:v>0.72740000000000005</c:v>
                </c:pt>
                <c:pt idx="5">
                  <c:v>0.71</c:v>
                </c:pt>
                <c:pt idx="6">
                  <c:v>0.67379999999999995</c:v>
                </c:pt>
                <c:pt idx="7">
                  <c:v>0.62660000000000005</c:v>
                </c:pt>
                <c:pt idx="8">
                  <c:v>0.70475078700000005</c:v>
                </c:pt>
                <c:pt idx="9">
                  <c:v>0.78305643000000003</c:v>
                </c:pt>
              </c:numCache>
            </c:numRef>
          </c:yVal>
          <c:smooth val="1"/>
        </c:ser>
        <c:ser>
          <c:idx val="2"/>
          <c:order val="2"/>
          <c:tx>
            <c:strRef>
              <c:f>'Rate calculations'!$G$12</c:f>
              <c:strCache>
                <c:ptCount val="1"/>
                <c:pt idx="0">
                  <c:v>1 ft</c:v>
                </c:pt>
              </c:strCache>
            </c:strRef>
          </c:tx>
          <c:xVal>
            <c:numRef>
              <c:f>'Rate calculations'!$C$13:$C$22</c:f>
              <c:numCache>
                <c:formatCode>General</c:formatCode>
                <c:ptCount val="10"/>
                <c:pt idx="0">
                  <c:v>5000</c:v>
                </c:pt>
                <c:pt idx="1">
                  <c:v>10000</c:v>
                </c:pt>
                <c:pt idx="2">
                  <c:v>15000</c:v>
                </c:pt>
                <c:pt idx="3">
                  <c:v>20000</c:v>
                </c:pt>
                <c:pt idx="4">
                  <c:v>25000</c:v>
                </c:pt>
                <c:pt idx="5">
                  <c:v>30000</c:v>
                </c:pt>
                <c:pt idx="6">
                  <c:v>35000</c:v>
                </c:pt>
                <c:pt idx="7">
                  <c:v>40000</c:v>
                </c:pt>
                <c:pt idx="8">
                  <c:v>45000</c:v>
                </c:pt>
                <c:pt idx="9">
                  <c:v>50000</c:v>
                </c:pt>
              </c:numCache>
            </c:numRef>
          </c:xVal>
          <c:yVal>
            <c:numRef>
              <c:f>'Rate calculations'!$G$13:$G$22</c:f>
              <c:numCache>
                <c:formatCode>0.0000</c:formatCode>
                <c:ptCount val="10"/>
                <c:pt idx="0">
                  <c:v>0.22515458627204524</c:v>
                </c:pt>
                <c:pt idx="1">
                  <c:v>0.3664</c:v>
                </c:pt>
                <c:pt idx="2">
                  <c:v>0.44700000000000001</c:v>
                </c:pt>
                <c:pt idx="3">
                  <c:v>0.48480000000000001</c:v>
                </c:pt>
                <c:pt idx="4">
                  <c:v>0.49299999999999999</c:v>
                </c:pt>
                <c:pt idx="5">
                  <c:v>0.48139999999999999</c:v>
                </c:pt>
                <c:pt idx="6">
                  <c:v>0.45679999999999998</c:v>
                </c:pt>
                <c:pt idx="7">
                  <c:v>0.42480000000000001</c:v>
                </c:pt>
                <c:pt idx="8">
                  <c:v>0.4777397161875</c:v>
                </c:pt>
                <c:pt idx="9">
                  <c:v>0.53082190687499997</c:v>
                </c:pt>
              </c:numCache>
            </c:numRef>
          </c:yVal>
          <c:smooth val="1"/>
        </c:ser>
        <c:ser>
          <c:idx val="3"/>
          <c:order val="3"/>
          <c:tx>
            <c:strRef>
              <c:f>'Rate calculations'!$H$12</c:f>
              <c:strCache>
                <c:ptCount val="1"/>
                <c:pt idx="0">
                  <c:v>1.5 ft</c:v>
                </c:pt>
              </c:strCache>
            </c:strRef>
          </c:tx>
          <c:xVal>
            <c:numRef>
              <c:f>'Rate calculations'!$C$13:$C$22</c:f>
              <c:numCache>
                <c:formatCode>General</c:formatCode>
                <c:ptCount val="10"/>
                <c:pt idx="0">
                  <c:v>5000</c:v>
                </c:pt>
                <c:pt idx="1">
                  <c:v>10000</c:v>
                </c:pt>
                <c:pt idx="2">
                  <c:v>15000</c:v>
                </c:pt>
                <c:pt idx="3">
                  <c:v>20000</c:v>
                </c:pt>
                <c:pt idx="4">
                  <c:v>25000</c:v>
                </c:pt>
                <c:pt idx="5">
                  <c:v>30000</c:v>
                </c:pt>
                <c:pt idx="6">
                  <c:v>35000</c:v>
                </c:pt>
                <c:pt idx="7">
                  <c:v>40000</c:v>
                </c:pt>
                <c:pt idx="8">
                  <c:v>45000</c:v>
                </c:pt>
                <c:pt idx="9">
                  <c:v>50000</c:v>
                </c:pt>
              </c:numCache>
            </c:numRef>
          </c:xVal>
          <c:yVal>
            <c:numRef>
              <c:f>'Rate calculations'!$H$13:$H$22</c:f>
              <c:numCache>
                <c:formatCode>0.0000</c:formatCode>
                <c:ptCount val="10"/>
                <c:pt idx="0">
                  <c:v>0.13519920783238654</c:v>
                </c:pt>
                <c:pt idx="1">
                  <c:v>0.22</c:v>
                </c:pt>
                <c:pt idx="2">
                  <c:v>0.26840000000000003</c:v>
                </c:pt>
                <c:pt idx="3">
                  <c:v>0.29120000000000001</c:v>
                </c:pt>
                <c:pt idx="4">
                  <c:v>0.29599999999999999</c:v>
                </c:pt>
                <c:pt idx="5">
                  <c:v>0.28899999999999998</c:v>
                </c:pt>
                <c:pt idx="6">
                  <c:v>0.27439999999999998</c:v>
                </c:pt>
                <c:pt idx="7">
                  <c:v>0.255</c:v>
                </c:pt>
                <c:pt idx="8">
                  <c:v>0.28686971137500006</c:v>
                </c:pt>
                <c:pt idx="9">
                  <c:v>0.31874412375</c:v>
                </c:pt>
              </c:numCache>
            </c:numRef>
          </c:yVal>
          <c:smooth val="1"/>
        </c:ser>
        <c:ser>
          <c:idx val="4"/>
          <c:order val="4"/>
          <c:tx>
            <c:strRef>
              <c:f>'Rate calculations'!$I$12</c:f>
              <c:strCache>
                <c:ptCount val="1"/>
                <c:pt idx="0">
                  <c:v>2 ft</c:v>
                </c:pt>
              </c:strCache>
            </c:strRef>
          </c:tx>
          <c:xVal>
            <c:numRef>
              <c:f>'Rate calculations'!$C$13:$C$22</c:f>
              <c:numCache>
                <c:formatCode>General</c:formatCode>
                <c:ptCount val="10"/>
                <c:pt idx="0">
                  <c:v>5000</c:v>
                </c:pt>
                <c:pt idx="1">
                  <c:v>10000</c:v>
                </c:pt>
                <c:pt idx="2">
                  <c:v>15000</c:v>
                </c:pt>
                <c:pt idx="3">
                  <c:v>20000</c:v>
                </c:pt>
                <c:pt idx="4">
                  <c:v>25000</c:v>
                </c:pt>
                <c:pt idx="5">
                  <c:v>30000</c:v>
                </c:pt>
                <c:pt idx="6">
                  <c:v>35000</c:v>
                </c:pt>
                <c:pt idx="7">
                  <c:v>40000</c:v>
                </c:pt>
                <c:pt idx="8">
                  <c:v>45000</c:v>
                </c:pt>
                <c:pt idx="9">
                  <c:v>50000</c:v>
                </c:pt>
              </c:numCache>
            </c:numRef>
          </c:xVal>
          <c:yVal>
            <c:numRef>
              <c:f>'Rate calculations'!$I$13:$I$22</c:f>
              <c:numCache>
                <c:formatCode>0.0000</c:formatCode>
                <c:ptCount val="10"/>
                <c:pt idx="0">
                  <c:v>8.0374332215316396E-2</c:v>
                </c:pt>
                <c:pt idx="1">
                  <c:v>0.1308</c:v>
                </c:pt>
                <c:pt idx="2">
                  <c:v>0.15959999999999999</c:v>
                </c:pt>
                <c:pt idx="3">
                  <c:v>0.17299999999999999</c:v>
                </c:pt>
                <c:pt idx="4">
                  <c:v>0.17599999999999999</c:v>
                </c:pt>
                <c:pt idx="5">
                  <c:v>0.17180000000000001</c:v>
                </c:pt>
                <c:pt idx="6">
                  <c:v>0.16300000000000001</c:v>
                </c:pt>
                <c:pt idx="7">
                  <c:v>0.15160000000000001</c:v>
                </c:pt>
                <c:pt idx="8">
                  <c:v>0.17054065518750003</c:v>
                </c:pt>
                <c:pt idx="9">
                  <c:v>0.18948961687499999</c:v>
                </c:pt>
              </c:numCache>
            </c:numRef>
          </c:yVal>
          <c:smooth val="1"/>
        </c:ser>
        <c:ser>
          <c:idx val="5"/>
          <c:order val="5"/>
          <c:tx>
            <c:strRef>
              <c:f>'Rate calculations'!$J$12</c:f>
              <c:strCache>
                <c:ptCount val="1"/>
                <c:pt idx="0">
                  <c:v>2.5 ft</c:v>
                </c:pt>
              </c:strCache>
            </c:strRef>
          </c:tx>
          <c:xVal>
            <c:numRef>
              <c:f>'Rate calculations'!$C$13:$C$22</c:f>
              <c:numCache>
                <c:formatCode>General</c:formatCode>
                <c:ptCount val="10"/>
                <c:pt idx="0">
                  <c:v>5000</c:v>
                </c:pt>
                <c:pt idx="1">
                  <c:v>10000</c:v>
                </c:pt>
                <c:pt idx="2">
                  <c:v>15000</c:v>
                </c:pt>
                <c:pt idx="3">
                  <c:v>20000</c:v>
                </c:pt>
                <c:pt idx="4">
                  <c:v>25000</c:v>
                </c:pt>
                <c:pt idx="5">
                  <c:v>30000</c:v>
                </c:pt>
                <c:pt idx="6">
                  <c:v>35000</c:v>
                </c:pt>
                <c:pt idx="7">
                  <c:v>40000</c:v>
                </c:pt>
                <c:pt idx="8">
                  <c:v>45000</c:v>
                </c:pt>
                <c:pt idx="9">
                  <c:v>50000</c:v>
                </c:pt>
              </c:numCache>
            </c:numRef>
          </c:xVal>
          <c:yVal>
            <c:numRef>
              <c:f>'Rate calculations'!$J$13:$J$22</c:f>
              <c:numCache>
                <c:formatCode>0.0000</c:formatCode>
                <c:ptCount val="10"/>
                <c:pt idx="0">
                  <c:v>2.6614017289839864E-2</c:v>
                </c:pt>
                <c:pt idx="1">
                  <c:v>4.3400000000000001E-2</c:v>
                </c:pt>
                <c:pt idx="2">
                  <c:v>5.28E-2</c:v>
                </c:pt>
                <c:pt idx="3">
                  <c:v>5.74E-2</c:v>
                </c:pt>
                <c:pt idx="4">
                  <c:v>5.8200000000000002E-2</c:v>
                </c:pt>
                <c:pt idx="5">
                  <c:v>5.6800000000000003E-2</c:v>
                </c:pt>
                <c:pt idx="6">
                  <c:v>5.3999999999999999E-2</c:v>
                </c:pt>
                <c:pt idx="7">
                  <c:v>5.0200000000000002E-2</c:v>
                </c:pt>
                <c:pt idx="8">
                  <c:v>5.647041562500002E-2</c:v>
                </c:pt>
                <c:pt idx="9">
                  <c:v>6.274490625000001E-2</c:v>
                </c:pt>
              </c:numCache>
            </c:numRef>
          </c:yVal>
          <c:smooth val="1"/>
        </c:ser>
        <c:dLbls>
          <c:showLegendKey val="0"/>
          <c:showVal val="0"/>
          <c:showCatName val="0"/>
          <c:showSerName val="0"/>
          <c:showPercent val="0"/>
          <c:showBubbleSize val="0"/>
        </c:dLbls>
        <c:axId val="106897408"/>
        <c:axId val="106899328"/>
      </c:scatterChart>
      <c:valAx>
        <c:axId val="106897408"/>
        <c:scaling>
          <c:orientation val="minMax"/>
        </c:scaling>
        <c:delete val="0"/>
        <c:axPos val="b"/>
        <c:title>
          <c:tx>
            <c:rich>
              <a:bodyPr/>
              <a:lstStyle/>
              <a:p>
                <a:pPr>
                  <a:defRPr/>
                </a:pPr>
                <a:r>
                  <a:rPr lang="en-US"/>
                  <a:t>Passenger Vehicle (Car and Pickup) AADT Total</a:t>
                </a:r>
              </a:p>
            </c:rich>
          </c:tx>
          <c:layout/>
          <c:overlay val="0"/>
        </c:title>
        <c:numFmt formatCode="General" sourceLinked="1"/>
        <c:majorTickMark val="none"/>
        <c:minorTickMark val="none"/>
        <c:tickLblPos val="nextTo"/>
        <c:crossAx val="106899328"/>
        <c:crosses val="autoZero"/>
        <c:crossBetween val="midCat"/>
      </c:valAx>
      <c:valAx>
        <c:axId val="106899328"/>
        <c:scaling>
          <c:orientation val="minMax"/>
        </c:scaling>
        <c:delete val="0"/>
        <c:axPos val="l"/>
        <c:majorGridlines/>
        <c:title>
          <c:tx>
            <c:rich>
              <a:bodyPr/>
              <a:lstStyle/>
              <a:p>
                <a:pPr>
                  <a:defRPr/>
                </a:pPr>
                <a:r>
                  <a:rPr lang="en-US"/>
                  <a:t>Excess TCB Failure Rate/Year/Mile</a:t>
                </a:r>
              </a:p>
            </c:rich>
          </c:tx>
          <c:layout/>
          <c:overlay val="0"/>
        </c:title>
        <c:numFmt formatCode="0.0000" sourceLinked="1"/>
        <c:majorTickMark val="none"/>
        <c:minorTickMark val="none"/>
        <c:tickLblPos val="nextTo"/>
        <c:crossAx val="1068974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linear"/>
            <c:dispRSqr val="0"/>
            <c:dispEq val="1"/>
            <c:trendlineLbl>
              <c:layout/>
              <c:numFmt formatCode="General" sourceLinked="0"/>
            </c:trendlineLbl>
          </c:trendline>
          <c:xVal>
            <c:numRef>
              <c:f>'Speed Percentiles'!$E$4:$E$9</c:f>
              <c:numCache>
                <c:formatCode>General</c:formatCode>
                <c:ptCount val="6"/>
                <c:pt idx="0">
                  <c:v>12</c:v>
                </c:pt>
                <c:pt idx="1">
                  <c:v>25</c:v>
                </c:pt>
                <c:pt idx="2">
                  <c:v>37</c:v>
                </c:pt>
                <c:pt idx="3">
                  <c:v>56</c:v>
                </c:pt>
                <c:pt idx="4">
                  <c:v>62</c:v>
                </c:pt>
                <c:pt idx="5">
                  <c:v>75</c:v>
                </c:pt>
              </c:numCache>
            </c:numRef>
          </c:xVal>
          <c:yVal>
            <c:numRef>
              <c:f>'Speed Percentiles'!$F$4:$F$9</c:f>
              <c:numCache>
                <c:formatCode>General</c:formatCode>
                <c:ptCount val="6"/>
                <c:pt idx="0">
                  <c:v>99</c:v>
                </c:pt>
                <c:pt idx="1">
                  <c:v>88</c:v>
                </c:pt>
                <c:pt idx="2">
                  <c:v>63</c:v>
                </c:pt>
                <c:pt idx="3">
                  <c:v>37</c:v>
                </c:pt>
                <c:pt idx="4">
                  <c:v>18</c:v>
                </c:pt>
                <c:pt idx="5">
                  <c:v>8</c:v>
                </c:pt>
              </c:numCache>
            </c:numRef>
          </c:yVal>
          <c:smooth val="1"/>
        </c:ser>
        <c:dLbls>
          <c:showLegendKey val="0"/>
          <c:showVal val="0"/>
          <c:showCatName val="0"/>
          <c:showSerName val="0"/>
          <c:showPercent val="0"/>
          <c:showBubbleSize val="0"/>
        </c:dLbls>
        <c:axId val="104190720"/>
        <c:axId val="104192256"/>
      </c:scatterChart>
      <c:valAx>
        <c:axId val="104190720"/>
        <c:scaling>
          <c:orientation val="minMax"/>
        </c:scaling>
        <c:delete val="0"/>
        <c:axPos val="b"/>
        <c:numFmt formatCode="General" sourceLinked="1"/>
        <c:majorTickMark val="out"/>
        <c:minorTickMark val="none"/>
        <c:tickLblPos val="nextTo"/>
        <c:crossAx val="104192256"/>
        <c:crosses val="autoZero"/>
        <c:crossBetween val="midCat"/>
      </c:valAx>
      <c:valAx>
        <c:axId val="104192256"/>
        <c:scaling>
          <c:orientation val="minMax"/>
        </c:scaling>
        <c:delete val="0"/>
        <c:axPos val="l"/>
        <c:majorGridlines/>
        <c:numFmt formatCode="General" sourceLinked="1"/>
        <c:majorTickMark val="out"/>
        <c:minorTickMark val="none"/>
        <c:tickLblPos val="nextTo"/>
        <c:crossAx val="1041907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poly"/>
            <c:order val="2"/>
            <c:dispRSqr val="0"/>
            <c:dispEq val="1"/>
            <c:trendlineLbl>
              <c:layout>
                <c:manualLayout>
                  <c:x val="0.23764479440069991"/>
                  <c:y val="-0.74881160688247306"/>
                </c:manualLayout>
              </c:layout>
              <c:numFmt formatCode="General" sourceLinked="0"/>
            </c:trendlineLbl>
          </c:trendline>
          <c:xVal>
            <c:numRef>
              <c:f>'Angle Percentile'!$E$4:$E$10</c:f>
              <c:numCache>
                <c:formatCode>General</c:formatCode>
                <c:ptCount val="7"/>
                <c:pt idx="0">
                  <c:v>5</c:v>
                </c:pt>
                <c:pt idx="1">
                  <c:v>10</c:v>
                </c:pt>
                <c:pt idx="2">
                  <c:v>15</c:v>
                </c:pt>
                <c:pt idx="3">
                  <c:v>20</c:v>
                </c:pt>
                <c:pt idx="4">
                  <c:v>25</c:v>
                </c:pt>
                <c:pt idx="5">
                  <c:v>30</c:v>
                </c:pt>
                <c:pt idx="6">
                  <c:v>35</c:v>
                </c:pt>
              </c:numCache>
            </c:numRef>
          </c:xVal>
          <c:yVal>
            <c:numRef>
              <c:f>'Angle Percentile'!$F$4:$F$10</c:f>
              <c:numCache>
                <c:formatCode>General</c:formatCode>
                <c:ptCount val="7"/>
                <c:pt idx="0">
                  <c:v>90</c:v>
                </c:pt>
                <c:pt idx="1">
                  <c:v>67</c:v>
                </c:pt>
                <c:pt idx="2">
                  <c:v>44</c:v>
                </c:pt>
                <c:pt idx="3">
                  <c:v>26</c:v>
                </c:pt>
                <c:pt idx="4">
                  <c:v>15</c:v>
                </c:pt>
                <c:pt idx="5">
                  <c:v>8</c:v>
                </c:pt>
                <c:pt idx="6">
                  <c:v>4</c:v>
                </c:pt>
              </c:numCache>
            </c:numRef>
          </c:yVal>
          <c:smooth val="1"/>
        </c:ser>
        <c:dLbls>
          <c:showLegendKey val="0"/>
          <c:showVal val="0"/>
          <c:showCatName val="0"/>
          <c:showSerName val="0"/>
          <c:showPercent val="0"/>
          <c:showBubbleSize val="0"/>
        </c:dLbls>
        <c:axId val="105008128"/>
        <c:axId val="105009920"/>
      </c:scatterChart>
      <c:valAx>
        <c:axId val="105008128"/>
        <c:scaling>
          <c:orientation val="minMax"/>
        </c:scaling>
        <c:delete val="0"/>
        <c:axPos val="b"/>
        <c:numFmt formatCode="General" sourceLinked="1"/>
        <c:majorTickMark val="out"/>
        <c:minorTickMark val="none"/>
        <c:tickLblPos val="nextTo"/>
        <c:crossAx val="105009920"/>
        <c:crosses val="autoZero"/>
        <c:crossBetween val="midCat"/>
      </c:valAx>
      <c:valAx>
        <c:axId val="105009920"/>
        <c:scaling>
          <c:orientation val="minMax"/>
        </c:scaling>
        <c:delete val="0"/>
        <c:axPos val="l"/>
        <c:majorGridlines/>
        <c:numFmt formatCode="General" sourceLinked="1"/>
        <c:majorTickMark val="out"/>
        <c:minorTickMark val="none"/>
        <c:tickLblPos val="nextTo"/>
        <c:crossAx val="1050081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Covered Zero Offset Not</a:t>
            </a:r>
            <a:r>
              <a:rPr lang="en-US" baseline="0"/>
              <a:t> Pinned</a:t>
            </a:r>
            <a:endParaRPr lang="en-US"/>
          </a:p>
        </c:rich>
      </c:tx>
      <c:overlay val="0"/>
    </c:title>
    <c:autoTitleDeleted val="0"/>
    <c:plotArea>
      <c:layout/>
      <c:scatterChart>
        <c:scatterStyle val="smoothMarker"/>
        <c:varyColors val="0"/>
        <c:ser>
          <c:idx val="0"/>
          <c:order val="0"/>
          <c:tx>
            <c:strRef>
              <c:f>'Do Not Use'!$G$5</c:f>
              <c:strCache>
                <c:ptCount val="1"/>
                <c:pt idx="0">
                  <c:v>Percent Covered</c:v>
                </c:pt>
              </c:strCache>
            </c:strRef>
          </c:tx>
          <c:xVal>
            <c:numRef>
              <c:f>'Do Not Use'!$F$6:$F$10</c:f>
              <c:numCache>
                <c:formatCode>General</c:formatCode>
                <c:ptCount val="5"/>
                <c:pt idx="0">
                  <c:v>2500</c:v>
                </c:pt>
                <c:pt idx="1">
                  <c:v>3500</c:v>
                </c:pt>
                <c:pt idx="2">
                  <c:v>4400</c:v>
                </c:pt>
                <c:pt idx="3">
                  <c:v>10000</c:v>
                </c:pt>
                <c:pt idx="4">
                  <c:v>40000</c:v>
                </c:pt>
              </c:numCache>
            </c:numRef>
          </c:xVal>
          <c:yVal>
            <c:numRef>
              <c:f>'Do Not Use'!$G$6:$G$10</c:f>
              <c:numCache>
                <c:formatCode>General</c:formatCode>
                <c:ptCount val="5"/>
                <c:pt idx="0">
                  <c:v>86.7</c:v>
                </c:pt>
                <c:pt idx="1">
                  <c:v>84.2</c:v>
                </c:pt>
                <c:pt idx="2">
                  <c:v>77.599999999999994</c:v>
                </c:pt>
                <c:pt idx="3">
                  <c:v>66.5</c:v>
                </c:pt>
                <c:pt idx="4">
                  <c:v>54.1</c:v>
                </c:pt>
              </c:numCache>
            </c:numRef>
          </c:yVal>
          <c:smooth val="1"/>
        </c:ser>
        <c:ser>
          <c:idx val="1"/>
          <c:order val="1"/>
          <c:tx>
            <c:strRef>
              <c:f>'Do Not Use'!$H$5</c:f>
              <c:strCache>
                <c:ptCount val="1"/>
                <c:pt idx="0">
                  <c:v>Target</c:v>
                </c:pt>
              </c:strCache>
            </c:strRef>
          </c:tx>
          <c:xVal>
            <c:numRef>
              <c:f>('Do Not Use'!$F$6,'Do Not Use'!$F$8)</c:f>
              <c:numCache>
                <c:formatCode>General</c:formatCode>
                <c:ptCount val="2"/>
                <c:pt idx="0">
                  <c:v>2500</c:v>
                </c:pt>
                <c:pt idx="1">
                  <c:v>4400</c:v>
                </c:pt>
              </c:numCache>
            </c:numRef>
          </c:xVal>
          <c:yVal>
            <c:numRef>
              <c:f>('Do Not Use'!$H$6,'Do Not Use'!$H$8)</c:f>
              <c:numCache>
                <c:formatCode>General</c:formatCode>
                <c:ptCount val="2"/>
                <c:pt idx="0">
                  <c:v>97</c:v>
                </c:pt>
                <c:pt idx="1">
                  <c:v>97</c:v>
                </c:pt>
              </c:numCache>
            </c:numRef>
          </c:yVal>
          <c:smooth val="1"/>
        </c:ser>
        <c:dLbls>
          <c:showLegendKey val="0"/>
          <c:showVal val="0"/>
          <c:showCatName val="0"/>
          <c:showSerName val="0"/>
          <c:showPercent val="0"/>
          <c:showBubbleSize val="0"/>
        </c:dLbls>
        <c:axId val="106280448"/>
        <c:axId val="106282368"/>
      </c:scatterChart>
      <c:valAx>
        <c:axId val="106280448"/>
        <c:scaling>
          <c:orientation val="minMax"/>
        </c:scaling>
        <c:delete val="0"/>
        <c:axPos val="b"/>
        <c:title>
          <c:tx>
            <c:rich>
              <a:bodyPr/>
              <a:lstStyle/>
              <a:p>
                <a:pPr>
                  <a:defRPr/>
                </a:pPr>
                <a:r>
                  <a:rPr lang="en-US"/>
                  <a:t>Vehicle Weight (Pounds)</a:t>
                </a:r>
              </a:p>
            </c:rich>
          </c:tx>
          <c:overlay val="0"/>
        </c:title>
        <c:numFmt formatCode="General" sourceLinked="1"/>
        <c:majorTickMark val="none"/>
        <c:minorTickMark val="in"/>
        <c:tickLblPos val="nextTo"/>
        <c:txPr>
          <a:bodyPr/>
          <a:lstStyle/>
          <a:p>
            <a:pPr>
              <a:defRPr baseline="0"/>
            </a:pPr>
            <a:endParaRPr lang="en-US"/>
          </a:p>
        </c:txPr>
        <c:crossAx val="106282368"/>
        <c:crosses val="autoZero"/>
        <c:crossBetween val="midCat"/>
        <c:minorUnit val="1000"/>
      </c:valAx>
      <c:valAx>
        <c:axId val="106282368"/>
        <c:scaling>
          <c:orientation val="minMax"/>
        </c:scaling>
        <c:delete val="0"/>
        <c:axPos val="l"/>
        <c:majorGridlines/>
        <c:title>
          <c:tx>
            <c:rich>
              <a:bodyPr/>
              <a:lstStyle/>
              <a:p>
                <a:pPr>
                  <a:defRPr/>
                </a:pPr>
                <a:r>
                  <a:rPr lang="en-US"/>
                  <a:t>Percentage Covered by Allowable Impact Energy</a:t>
                </a:r>
              </a:p>
            </c:rich>
          </c:tx>
          <c:overlay val="0"/>
        </c:title>
        <c:numFmt formatCode="General" sourceLinked="1"/>
        <c:majorTickMark val="none"/>
        <c:minorTickMark val="none"/>
        <c:tickLblPos val="nextTo"/>
        <c:crossAx val="1062804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Covered 0.5 ft Offset Not Pinned</a:t>
            </a:r>
          </a:p>
        </c:rich>
      </c:tx>
      <c:overlay val="0"/>
    </c:title>
    <c:autoTitleDeleted val="0"/>
    <c:plotArea>
      <c:layout/>
      <c:scatterChart>
        <c:scatterStyle val="smoothMarker"/>
        <c:varyColors val="0"/>
        <c:ser>
          <c:idx val="0"/>
          <c:order val="0"/>
          <c:tx>
            <c:strRef>
              <c:f>'Do Not Use'!$M$5</c:f>
              <c:strCache>
                <c:ptCount val="1"/>
                <c:pt idx="0">
                  <c:v>Percent Covered</c:v>
                </c:pt>
              </c:strCache>
            </c:strRef>
          </c:tx>
          <c:xVal>
            <c:numRef>
              <c:f>'Do Not Use'!$L$6:$L$11</c:f>
              <c:numCache>
                <c:formatCode>General</c:formatCode>
                <c:ptCount val="6"/>
                <c:pt idx="0">
                  <c:v>2500</c:v>
                </c:pt>
                <c:pt idx="1">
                  <c:v>3500</c:v>
                </c:pt>
                <c:pt idx="2">
                  <c:v>4400</c:v>
                </c:pt>
                <c:pt idx="3">
                  <c:v>10000</c:v>
                </c:pt>
                <c:pt idx="4">
                  <c:v>15000</c:v>
                </c:pt>
                <c:pt idx="5">
                  <c:v>60000</c:v>
                </c:pt>
              </c:numCache>
            </c:numRef>
          </c:xVal>
          <c:yVal>
            <c:numRef>
              <c:f>'Do Not Use'!$M$6:$M$11</c:f>
              <c:numCache>
                <c:formatCode>General</c:formatCode>
                <c:ptCount val="6"/>
                <c:pt idx="0">
                  <c:v>92.3</c:v>
                </c:pt>
                <c:pt idx="1">
                  <c:v>86.7</c:v>
                </c:pt>
                <c:pt idx="2">
                  <c:v>84.2</c:v>
                </c:pt>
                <c:pt idx="3">
                  <c:v>75.900000000000006</c:v>
                </c:pt>
                <c:pt idx="4">
                  <c:v>66.5</c:v>
                </c:pt>
                <c:pt idx="5">
                  <c:v>54.1</c:v>
                </c:pt>
              </c:numCache>
            </c:numRef>
          </c:yVal>
          <c:smooth val="1"/>
        </c:ser>
        <c:ser>
          <c:idx val="1"/>
          <c:order val="1"/>
          <c:tx>
            <c:strRef>
              <c:f>'Do Not Use'!$N$5</c:f>
              <c:strCache>
                <c:ptCount val="1"/>
                <c:pt idx="0">
                  <c:v>Target</c:v>
                </c:pt>
              </c:strCache>
            </c:strRef>
          </c:tx>
          <c:xVal>
            <c:numRef>
              <c:f>('Do Not Use'!$L$6,'Do Not Use'!$L$8)</c:f>
              <c:numCache>
                <c:formatCode>General</c:formatCode>
                <c:ptCount val="2"/>
                <c:pt idx="0">
                  <c:v>2500</c:v>
                </c:pt>
                <c:pt idx="1">
                  <c:v>4400</c:v>
                </c:pt>
              </c:numCache>
            </c:numRef>
          </c:xVal>
          <c:yVal>
            <c:numRef>
              <c:f>('Do Not Use'!$N$6,'Do Not Use'!$N$8)</c:f>
              <c:numCache>
                <c:formatCode>General</c:formatCode>
                <c:ptCount val="2"/>
                <c:pt idx="0">
                  <c:v>97</c:v>
                </c:pt>
                <c:pt idx="1">
                  <c:v>97</c:v>
                </c:pt>
              </c:numCache>
            </c:numRef>
          </c:yVal>
          <c:smooth val="1"/>
        </c:ser>
        <c:dLbls>
          <c:showLegendKey val="0"/>
          <c:showVal val="0"/>
          <c:showCatName val="0"/>
          <c:showSerName val="0"/>
          <c:showPercent val="0"/>
          <c:showBubbleSize val="0"/>
        </c:dLbls>
        <c:axId val="106971904"/>
        <c:axId val="106973824"/>
      </c:scatterChart>
      <c:valAx>
        <c:axId val="106971904"/>
        <c:scaling>
          <c:orientation val="minMax"/>
        </c:scaling>
        <c:delete val="0"/>
        <c:axPos val="b"/>
        <c:title>
          <c:tx>
            <c:rich>
              <a:bodyPr/>
              <a:lstStyle/>
              <a:p>
                <a:pPr>
                  <a:defRPr/>
                </a:pPr>
                <a:r>
                  <a:rPr lang="en-US"/>
                  <a:t>Vehicle Weight (Pounds)</a:t>
                </a:r>
              </a:p>
            </c:rich>
          </c:tx>
          <c:overlay val="0"/>
        </c:title>
        <c:numFmt formatCode="General" sourceLinked="1"/>
        <c:majorTickMark val="none"/>
        <c:minorTickMark val="none"/>
        <c:tickLblPos val="nextTo"/>
        <c:crossAx val="106973824"/>
        <c:crosses val="autoZero"/>
        <c:crossBetween val="midCat"/>
      </c:valAx>
      <c:valAx>
        <c:axId val="106973824"/>
        <c:scaling>
          <c:orientation val="minMax"/>
        </c:scaling>
        <c:delete val="0"/>
        <c:axPos val="l"/>
        <c:majorGridlines/>
        <c:title>
          <c:tx>
            <c:rich>
              <a:bodyPr/>
              <a:lstStyle/>
              <a:p>
                <a:pPr>
                  <a:defRPr/>
                </a:pPr>
                <a:r>
                  <a:rPr lang="en-US"/>
                  <a:t>Percentage Covered by Allowable Impact Energy</a:t>
                </a:r>
              </a:p>
            </c:rich>
          </c:tx>
          <c:overlay val="0"/>
        </c:title>
        <c:numFmt formatCode="General" sourceLinked="1"/>
        <c:majorTickMark val="none"/>
        <c:minorTickMark val="none"/>
        <c:tickLblPos val="nextTo"/>
        <c:crossAx val="1069719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Covered 1 ft Offset Not Pinned</a:t>
            </a:r>
          </a:p>
        </c:rich>
      </c:tx>
      <c:layout/>
      <c:overlay val="0"/>
    </c:title>
    <c:autoTitleDeleted val="0"/>
    <c:plotArea>
      <c:layout/>
      <c:scatterChart>
        <c:scatterStyle val="smoothMarker"/>
        <c:varyColors val="0"/>
        <c:ser>
          <c:idx val="0"/>
          <c:order val="0"/>
          <c:xVal>
            <c:numRef>
              <c:f>'Do Not Use'!$C$42:$C$47</c:f>
              <c:numCache>
                <c:formatCode>General</c:formatCode>
                <c:ptCount val="6"/>
                <c:pt idx="0">
                  <c:v>2500</c:v>
                </c:pt>
                <c:pt idx="1">
                  <c:v>3500</c:v>
                </c:pt>
                <c:pt idx="2">
                  <c:v>4400</c:v>
                </c:pt>
                <c:pt idx="3">
                  <c:v>10000</c:v>
                </c:pt>
                <c:pt idx="4">
                  <c:v>15000</c:v>
                </c:pt>
                <c:pt idx="5">
                  <c:v>60000</c:v>
                </c:pt>
              </c:numCache>
            </c:numRef>
          </c:xVal>
          <c:yVal>
            <c:numRef>
              <c:f>'Do Not Use'!$D$42:$D$47</c:f>
              <c:numCache>
                <c:formatCode>General</c:formatCode>
                <c:ptCount val="6"/>
                <c:pt idx="0">
                  <c:v>92.3</c:v>
                </c:pt>
                <c:pt idx="1">
                  <c:v>86.7</c:v>
                </c:pt>
                <c:pt idx="2">
                  <c:v>84.2</c:v>
                </c:pt>
                <c:pt idx="3">
                  <c:v>75.900000000000006</c:v>
                </c:pt>
                <c:pt idx="4">
                  <c:v>66.5</c:v>
                </c:pt>
                <c:pt idx="5">
                  <c:v>54.1</c:v>
                </c:pt>
              </c:numCache>
            </c:numRef>
          </c:yVal>
          <c:smooth val="1"/>
        </c:ser>
        <c:ser>
          <c:idx val="1"/>
          <c:order val="1"/>
          <c:tx>
            <c:strRef>
              <c:f>'Do Not Use'!$E$41</c:f>
              <c:strCache>
                <c:ptCount val="1"/>
                <c:pt idx="0">
                  <c:v>Target</c:v>
                </c:pt>
              </c:strCache>
            </c:strRef>
          </c:tx>
          <c:xVal>
            <c:numRef>
              <c:f>('Do Not Use'!$C$42,'Do Not Use'!$C$44)</c:f>
              <c:numCache>
                <c:formatCode>General</c:formatCode>
                <c:ptCount val="2"/>
                <c:pt idx="0">
                  <c:v>2500</c:v>
                </c:pt>
                <c:pt idx="1">
                  <c:v>4400</c:v>
                </c:pt>
              </c:numCache>
            </c:numRef>
          </c:xVal>
          <c:yVal>
            <c:numRef>
              <c:f>('Do Not Use'!$E$42,'Do Not Use'!$E$44)</c:f>
              <c:numCache>
                <c:formatCode>General</c:formatCode>
                <c:ptCount val="2"/>
                <c:pt idx="0">
                  <c:v>97</c:v>
                </c:pt>
                <c:pt idx="1">
                  <c:v>97</c:v>
                </c:pt>
              </c:numCache>
            </c:numRef>
          </c:yVal>
          <c:smooth val="1"/>
        </c:ser>
        <c:dLbls>
          <c:showLegendKey val="0"/>
          <c:showVal val="0"/>
          <c:showCatName val="0"/>
          <c:showSerName val="0"/>
          <c:showPercent val="0"/>
          <c:showBubbleSize val="0"/>
        </c:dLbls>
        <c:axId val="106990976"/>
        <c:axId val="107017728"/>
      </c:scatterChart>
      <c:valAx>
        <c:axId val="106990976"/>
        <c:scaling>
          <c:orientation val="minMax"/>
        </c:scaling>
        <c:delete val="0"/>
        <c:axPos val="b"/>
        <c:title>
          <c:tx>
            <c:rich>
              <a:bodyPr/>
              <a:lstStyle/>
              <a:p>
                <a:pPr>
                  <a:defRPr/>
                </a:pPr>
                <a:r>
                  <a:rPr lang="en-US"/>
                  <a:t>Vehicle Weight (Pounds)</a:t>
                </a:r>
              </a:p>
            </c:rich>
          </c:tx>
          <c:layout/>
          <c:overlay val="0"/>
        </c:title>
        <c:numFmt formatCode="General" sourceLinked="1"/>
        <c:majorTickMark val="none"/>
        <c:minorTickMark val="none"/>
        <c:tickLblPos val="nextTo"/>
        <c:crossAx val="107017728"/>
        <c:crosses val="autoZero"/>
        <c:crossBetween val="midCat"/>
      </c:valAx>
      <c:valAx>
        <c:axId val="107017728"/>
        <c:scaling>
          <c:orientation val="minMax"/>
        </c:scaling>
        <c:delete val="0"/>
        <c:axPos val="l"/>
        <c:majorGridlines/>
        <c:title>
          <c:tx>
            <c:rich>
              <a:bodyPr/>
              <a:lstStyle/>
              <a:p>
                <a:pPr>
                  <a:defRPr/>
                </a:pPr>
                <a:r>
                  <a:rPr lang="en-US"/>
                  <a:t>Percent Covered by Allowable Impact Energy</a:t>
                </a:r>
              </a:p>
            </c:rich>
          </c:tx>
          <c:layout/>
          <c:overlay val="0"/>
        </c:title>
        <c:numFmt formatCode="General" sourceLinked="1"/>
        <c:majorTickMark val="none"/>
        <c:minorTickMark val="none"/>
        <c:tickLblPos val="nextTo"/>
        <c:crossAx val="1069909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Covered 1.5 ft Offset Not Pinned</a:t>
            </a:r>
          </a:p>
        </c:rich>
      </c:tx>
      <c:layout/>
      <c:overlay val="0"/>
    </c:title>
    <c:autoTitleDeleted val="0"/>
    <c:plotArea>
      <c:layout/>
      <c:scatterChart>
        <c:scatterStyle val="smoothMarker"/>
        <c:varyColors val="0"/>
        <c:ser>
          <c:idx val="0"/>
          <c:order val="0"/>
          <c:tx>
            <c:strRef>
              <c:f>'Do Not Use'!$N$40</c:f>
              <c:strCache>
                <c:ptCount val="1"/>
                <c:pt idx="0">
                  <c:v>Percent Covered</c:v>
                </c:pt>
              </c:strCache>
            </c:strRef>
          </c:tx>
          <c:xVal>
            <c:numRef>
              <c:f>'Do Not Use'!$M$41:$M$47</c:f>
              <c:numCache>
                <c:formatCode>General</c:formatCode>
                <c:ptCount val="7"/>
                <c:pt idx="0">
                  <c:v>2500</c:v>
                </c:pt>
                <c:pt idx="1">
                  <c:v>3500</c:v>
                </c:pt>
                <c:pt idx="2">
                  <c:v>4400</c:v>
                </c:pt>
                <c:pt idx="3">
                  <c:v>10000</c:v>
                </c:pt>
                <c:pt idx="4">
                  <c:v>15000</c:v>
                </c:pt>
                <c:pt idx="5">
                  <c:v>22000</c:v>
                </c:pt>
                <c:pt idx="6">
                  <c:v>40000</c:v>
                </c:pt>
              </c:numCache>
            </c:numRef>
          </c:xVal>
          <c:yVal>
            <c:numRef>
              <c:f>'Do Not Use'!$N$41:$N$47</c:f>
              <c:numCache>
                <c:formatCode>General</c:formatCode>
                <c:ptCount val="7"/>
                <c:pt idx="0">
                  <c:v>97</c:v>
                </c:pt>
                <c:pt idx="1">
                  <c:v>94.8</c:v>
                </c:pt>
                <c:pt idx="2">
                  <c:v>92.3</c:v>
                </c:pt>
                <c:pt idx="3">
                  <c:v>84.2</c:v>
                </c:pt>
                <c:pt idx="4">
                  <c:v>77.599999999999994</c:v>
                </c:pt>
                <c:pt idx="5">
                  <c:v>75.900000000000006</c:v>
                </c:pt>
                <c:pt idx="6">
                  <c:v>66.5</c:v>
                </c:pt>
              </c:numCache>
            </c:numRef>
          </c:yVal>
          <c:smooth val="1"/>
        </c:ser>
        <c:ser>
          <c:idx val="1"/>
          <c:order val="1"/>
          <c:tx>
            <c:strRef>
              <c:f>'Do Not Use'!$O$40</c:f>
              <c:strCache>
                <c:ptCount val="1"/>
                <c:pt idx="0">
                  <c:v>Target</c:v>
                </c:pt>
              </c:strCache>
            </c:strRef>
          </c:tx>
          <c:xVal>
            <c:numRef>
              <c:f>('Do Not Use'!$M$41,'Do Not Use'!$M$43)</c:f>
              <c:numCache>
                <c:formatCode>General</c:formatCode>
                <c:ptCount val="2"/>
                <c:pt idx="0">
                  <c:v>2500</c:v>
                </c:pt>
                <c:pt idx="1">
                  <c:v>4400</c:v>
                </c:pt>
              </c:numCache>
            </c:numRef>
          </c:xVal>
          <c:yVal>
            <c:numRef>
              <c:f>('Do Not Use'!$O$41,'Do Not Use'!$O$43)</c:f>
              <c:numCache>
                <c:formatCode>General</c:formatCode>
                <c:ptCount val="2"/>
                <c:pt idx="0">
                  <c:v>97</c:v>
                </c:pt>
                <c:pt idx="1">
                  <c:v>97</c:v>
                </c:pt>
              </c:numCache>
            </c:numRef>
          </c:yVal>
          <c:smooth val="1"/>
        </c:ser>
        <c:dLbls>
          <c:showLegendKey val="0"/>
          <c:showVal val="0"/>
          <c:showCatName val="0"/>
          <c:showSerName val="0"/>
          <c:showPercent val="0"/>
          <c:showBubbleSize val="0"/>
        </c:dLbls>
        <c:axId val="106654336"/>
        <c:axId val="106656512"/>
      </c:scatterChart>
      <c:valAx>
        <c:axId val="106654336"/>
        <c:scaling>
          <c:orientation val="minMax"/>
        </c:scaling>
        <c:delete val="0"/>
        <c:axPos val="b"/>
        <c:title>
          <c:tx>
            <c:rich>
              <a:bodyPr/>
              <a:lstStyle/>
              <a:p>
                <a:pPr>
                  <a:defRPr/>
                </a:pPr>
                <a:r>
                  <a:rPr lang="en-US"/>
                  <a:t>Vehicle Weight (Pounds)</a:t>
                </a:r>
              </a:p>
            </c:rich>
          </c:tx>
          <c:layout>
            <c:manualLayout>
              <c:xMode val="edge"/>
              <c:yMode val="edge"/>
              <c:x val="0.38117156526605345"/>
              <c:y val="0.93295764035936224"/>
            </c:manualLayout>
          </c:layout>
          <c:overlay val="0"/>
        </c:title>
        <c:numFmt formatCode="General" sourceLinked="1"/>
        <c:majorTickMark val="none"/>
        <c:minorTickMark val="none"/>
        <c:tickLblPos val="nextTo"/>
        <c:crossAx val="106656512"/>
        <c:crosses val="autoZero"/>
        <c:crossBetween val="midCat"/>
      </c:valAx>
      <c:valAx>
        <c:axId val="106656512"/>
        <c:scaling>
          <c:orientation val="minMax"/>
        </c:scaling>
        <c:delete val="0"/>
        <c:axPos val="l"/>
        <c:majorGridlines/>
        <c:title>
          <c:tx>
            <c:rich>
              <a:bodyPr/>
              <a:lstStyle/>
              <a:p>
                <a:pPr>
                  <a:defRPr/>
                </a:pPr>
                <a:r>
                  <a:rPr lang="en-US"/>
                  <a:t>Percent Covered by Allowable Impact Energy</a:t>
                </a:r>
              </a:p>
            </c:rich>
          </c:tx>
          <c:layout/>
          <c:overlay val="0"/>
        </c:title>
        <c:numFmt formatCode="General" sourceLinked="1"/>
        <c:majorTickMark val="none"/>
        <c:minorTickMark val="none"/>
        <c:tickLblPos val="nextTo"/>
        <c:crossAx val="1066543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Covered 2 ft Offset Not Pinned</a:t>
            </a:r>
          </a:p>
        </c:rich>
      </c:tx>
      <c:layout/>
      <c:overlay val="0"/>
    </c:title>
    <c:autoTitleDeleted val="0"/>
    <c:plotArea>
      <c:layout/>
      <c:scatterChart>
        <c:scatterStyle val="smoothMarker"/>
        <c:varyColors val="0"/>
        <c:ser>
          <c:idx val="0"/>
          <c:order val="0"/>
          <c:tx>
            <c:strRef>
              <c:f>'Do Not Use'!$D$76</c:f>
              <c:strCache>
                <c:ptCount val="1"/>
                <c:pt idx="0">
                  <c:v>Percent Covered</c:v>
                </c:pt>
              </c:strCache>
            </c:strRef>
          </c:tx>
          <c:xVal>
            <c:numRef>
              <c:f>('Do Not Use'!$C$77,'Do Not Use'!$C$78,'Do Not Use'!$C$80,'Do Not Use'!$C$81,'Do Not Use'!$C$82,'Do Not Use'!$C$83)</c:f>
              <c:numCache>
                <c:formatCode>General</c:formatCode>
                <c:ptCount val="6"/>
                <c:pt idx="0">
                  <c:v>2500</c:v>
                </c:pt>
                <c:pt idx="1">
                  <c:v>4400</c:v>
                </c:pt>
                <c:pt idx="2">
                  <c:v>10000</c:v>
                </c:pt>
                <c:pt idx="3">
                  <c:v>15000</c:v>
                </c:pt>
                <c:pt idx="4">
                  <c:v>22000</c:v>
                </c:pt>
                <c:pt idx="5">
                  <c:v>40000</c:v>
                </c:pt>
              </c:numCache>
            </c:numRef>
          </c:xVal>
          <c:yVal>
            <c:numRef>
              <c:f>('Do Not Use'!$D$77,'Do Not Use'!$D$78,'Do Not Use'!$D$80,'Do Not Use'!$D$81,'Do Not Use'!$D$82,'Do Not Use'!$D$83)</c:f>
              <c:numCache>
                <c:formatCode>General</c:formatCode>
                <c:ptCount val="6"/>
                <c:pt idx="0">
                  <c:v>97</c:v>
                </c:pt>
                <c:pt idx="1">
                  <c:v>94.6</c:v>
                </c:pt>
                <c:pt idx="2">
                  <c:v>84.2</c:v>
                </c:pt>
                <c:pt idx="3">
                  <c:v>77.599999999999994</c:v>
                </c:pt>
                <c:pt idx="4">
                  <c:v>75.900000000000006</c:v>
                </c:pt>
                <c:pt idx="5">
                  <c:v>66.5</c:v>
                </c:pt>
              </c:numCache>
            </c:numRef>
          </c:yVal>
          <c:smooth val="1"/>
        </c:ser>
        <c:ser>
          <c:idx val="1"/>
          <c:order val="1"/>
          <c:tx>
            <c:strRef>
              <c:f>'Do Not Use'!$E$76</c:f>
              <c:strCache>
                <c:ptCount val="1"/>
                <c:pt idx="0">
                  <c:v>Target</c:v>
                </c:pt>
              </c:strCache>
            </c:strRef>
          </c:tx>
          <c:xVal>
            <c:numRef>
              <c:f>('Do Not Use'!$C$77,'Do Not Use'!$C$79)</c:f>
              <c:numCache>
                <c:formatCode>General</c:formatCode>
                <c:ptCount val="2"/>
                <c:pt idx="0">
                  <c:v>2500</c:v>
                </c:pt>
                <c:pt idx="1">
                  <c:v>5000</c:v>
                </c:pt>
              </c:numCache>
            </c:numRef>
          </c:xVal>
          <c:yVal>
            <c:numRef>
              <c:f>('Do Not Use'!$E$77,'Do Not Use'!$E$79)</c:f>
              <c:numCache>
                <c:formatCode>General</c:formatCode>
                <c:ptCount val="2"/>
                <c:pt idx="0">
                  <c:v>97</c:v>
                </c:pt>
                <c:pt idx="1">
                  <c:v>97</c:v>
                </c:pt>
              </c:numCache>
            </c:numRef>
          </c:yVal>
          <c:smooth val="1"/>
        </c:ser>
        <c:dLbls>
          <c:showLegendKey val="0"/>
          <c:showVal val="0"/>
          <c:showCatName val="0"/>
          <c:showSerName val="0"/>
          <c:showPercent val="0"/>
          <c:showBubbleSize val="0"/>
        </c:dLbls>
        <c:axId val="106682240"/>
        <c:axId val="106696704"/>
      </c:scatterChart>
      <c:valAx>
        <c:axId val="106682240"/>
        <c:scaling>
          <c:orientation val="minMax"/>
        </c:scaling>
        <c:delete val="0"/>
        <c:axPos val="b"/>
        <c:title>
          <c:tx>
            <c:rich>
              <a:bodyPr/>
              <a:lstStyle/>
              <a:p>
                <a:pPr>
                  <a:defRPr/>
                </a:pPr>
                <a:r>
                  <a:rPr lang="en-US"/>
                  <a:t>Vehicle Weight (Pounds)</a:t>
                </a:r>
              </a:p>
            </c:rich>
          </c:tx>
          <c:layout/>
          <c:overlay val="0"/>
        </c:title>
        <c:numFmt formatCode="General" sourceLinked="1"/>
        <c:majorTickMark val="none"/>
        <c:minorTickMark val="none"/>
        <c:tickLblPos val="nextTo"/>
        <c:crossAx val="106696704"/>
        <c:crosses val="autoZero"/>
        <c:crossBetween val="midCat"/>
      </c:valAx>
      <c:valAx>
        <c:axId val="106696704"/>
        <c:scaling>
          <c:orientation val="minMax"/>
        </c:scaling>
        <c:delete val="0"/>
        <c:axPos val="l"/>
        <c:majorGridlines/>
        <c:title>
          <c:tx>
            <c:rich>
              <a:bodyPr/>
              <a:lstStyle/>
              <a:p>
                <a:pPr>
                  <a:defRPr/>
                </a:pPr>
                <a:r>
                  <a:rPr lang="en-US"/>
                  <a:t> Percent Covered by Allowable Impact Energy</a:t>
                </a:r>
              </a:p>
            </c:rich>
          </c:tx>
          <c:layout/>
          <c:overlay val="0"/>
        </c:title>
        <c:numFmt formatCode="General" sourceLinked="1"/>
        <c:majorTickMark val="none"/>
        <c:minorTickMark val="none"/>
        <c:tickLblPos val="nextTo"/>
        <c:crossAx val="1066822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Covered 2.5 ft Offset Not Pinned</a:t>
            </a:r>
          </a:p>
        </c:rich>
      </c:tx>
      <c:layout/>
      <c:overlay val="0"/>
    </c:title>
    <c:autoTitleDeleted val="0"/>
    <c:plotArea>
      <c:layout/>
      <c:scatterChart>
        <c:scatterStyle val="smoothMarker"/>
        <c:varyColors val="0"/>
        <c:ser>
          <c:idx val="0"/>
          <c:order val="0"/>
          <c:tx>
            <c:strRef>
              <c:f>'Do Not Use'!$N$75:$N$76</c:f>
              <c:strCache>
                <c:ptCount val="1"/>
                <c:pt idx="0">
                  <c:v>1' Offset  Percent Covered</c:v>
                </c:pt>
              </c:strCache>
            </c:strRef>
          </c:tx>
          <c:xVal>
            <c:numRef>
              <c:f>('Do Not Use'!$M$77,'Do Not Use'!$M$79,'Do Not Use'!$M$80,'Do Not Use'!$M$81,'Do Not Use'!$M$82,'Do Not Use'!$M$83)</c:f>
              <c:numCache>
                <c:formatCode>General</c:formatCode>
                <c:ptCount val="6"/>
                <c:pt idx="0">
                  <c:v>2500</c:v>
                </c:pt>
                <c:pt idx="1">
                  <c:v>5000</c:v>
                </c:pt>
                <c:pt idx="2">
                  <c:v>10000</c:v>
                </c:pt>
                <c:pt idx="3">
                  <c:v>15000</c:v>
                </c:pt>
                <c:pt idx="4">
                  <c:v>40000</c:v>
                </c:pt>
                <c:pt idx="5">
                  <c:v>50000</c:v>
                </c:pt>
              </c:numCache>
            </c:numRef>
          </c:xVal>
          <c:yVal>
            <c:numRef>
              <c:f>('Do Not Use'!$N$77,'Do Not Use'!$N$79,'Do Not Use'!$N$80,'Do Not Use'!$N$81,'Do Not Use'!$N$82,'Do Not Use'!$N$83)</c:f>
              <c:numCache>
                <c:formatCode>General</c:formatCode>
                <c:ptCount val="6"/>
                <c:pt idx="0">
                  <c:v>97</c:v>
                </c:pt>
                <c:pt idx="1">
                  <c:v>94.6</c:v>
                </c:pt>
                <c:pt idx="2">
                  <c:v>91.2</c:v>
                </c:pt>
                <c:pt idx="3">
                  <c:v>84.2</c:v>
                </c:pt>
                <c:pt idx="4">
                  <c:v>75.900000000000006</c:v>
                </c:pt>
                <c:pt idx="5">
                  <c:v>66.5</c:v>
                </c:pt>
              </c:numCache>
            </c:numRef>
          </c:yVal>
          <c:smooth val="1"/>
        </c:ser>
        <c:ser>
          <c:idx val="1"/>
          <c:order val="1"/>
          <c:tx>
            <c:strRef>
              <c:f>'Do Not Use'!$O$75:$O$76</c:f>
              <c:strCache>
                <c:ptCount val="1"/>
                <c:pt idx="0">
                  <c:v>1' Offset  Target</c:v>
                </c:pt>
              </c:strCache>
            </c:strRef>
          </c:tx>
          <c:xVal>
            <c:numRef>
              <c:f>('Do Not Use'!$M$77,'Do Not Use'!$M$79)</c:f>
              <c:numCache>
                <c:formatCode>General</c:formatCode>
                <c:ptCount val="2"/>
                <c:pt idx="0">
                  <c:v>2500</c:v>
                </c:pt>
                <c:pt idx="1">
                  <c:v>5000</c:v>
                </c:pt>
              </c:numCache>
            </c:numRef>
          </c:xVal>
          <c:yVal>
            <c:numRef>
              <c:f>('Do Not Use'!$O$77,'Do Not Use'!$O$79)</c:f>
              <c:numCache>
                <c:formatCode>General</c:formatCode>
                <c:ptCount val="2"/>
                <c:pt idx="0">
                  <c:v>97</c:v>
                </c:pt>
                <c:pt idx="1">
                  <c:v>97</c:v>
                </c:pt>
              </c:numCache>
            </c:numRef>
          </c:yVal>
          <c:smooth val="1"/>
        </c:ser>
        <c:dLbls>
          <c:showLegendKey val="0"/>
          <c:showVal val="0"/>
          <c:showCatName val="0"/>
          <c:showSerName val="0"/>
          <c:showPercent val="0"/>
          <c:showBubbleSize val="0"/>
        </c:dLbls>
        <c:axId val="106722432"/>
        <c:axId val="106724352"/>
      </c:scatterChart>
      <c:valAx>
        <c:axId val="106722432"/>
        <c:scaling>
          <c:orientation val="minMax"/>
        </c:scaling>
        <c:delete val="0"/>
        <c:axPos val="b"/>
        <c:title>
          <c:tx>
            <c:rich>
              <a:bodyPr/>
              <a:lstStyle/>
              <a:p>
                <a:pPr>
                  <a:defRPr/>
                </a:pPr>
                <a:r>
                  <a:rPr lang="en-US"/>
                  <a:t>Vehicle Weight (Pounds)</a:t>
                </a:r>
              </a:p>
            </c:rich>
          </c:tx>
          <c:layout/>
          <c:overlay val="0"/>
        </c:title>
        <c:numFmt formatCode="General" sourceLinked="1"/>
        <c:majorTickMark val="none"/>
        <c:minorTickMark val="none"/>
        <c:tickLblPos val="nextTo"/>
        <c:crossAx val="106724352"/>
        <c:crosses val="autoZero"/>
        <c:crossBetween val="midCat"/>
      </c:valAx>
      <c:valAx>
        <c:axId val="106724352"/>
        <c:scaling>
          <c:orientation val="minMax"/>
        </c:scaling>
        <c:delete val="0"/>
        <c:axPos val="l"/>
        <c:majorGridlines/>
        <c:title>
          <c:tx>
            <c:rich>
              <a:bodyPr/>
              <a:lstStyle/>
              <a:p>
                <a:pPr>
                  <a:defRPr/>
                </a:pPr>
                <a:r>
                  <a:rPr lang="en-US"/>
                  <a:t>Percent Covered by Allowable Impact Energy</a:t>
                </a:r>
              </a:p>
            </c:rich>
          </c:tx>
          <c:layout/>
          <c:overlay val="0"/>
        </c:title>
        <c:numFmt formatCode="General" sourceLinked="1"/>
        <c:majorTickMark val="none"/>
        <c:minorTickMark val="none"/>
        <c:tickLblPos val="nextTo"/>
        <c:crossAx val="1067224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19</xdr:col>
      <xdr:colOff>190500</xdr:colOff>
      <xdr:row>1</xdr:row>
      <xdr:rowOff>33337</xdr:rowOff>
    </xdr:from>
    <xdr:to>
      <xdr:col>26</xdr:col>
      <xdr:colOff>495300</xdr:colOff>
      <xdr:row>15</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13</xdr:row>
      <xdr:rowOff>4762</xdr:rowOff>
    </xdr:from>
    <xdr:to>
      <xdr:col>16</xdr:col>
      <xdr:colOff>438150</xdr:colOff>
      <xdr:row>27</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13</xdr:row>
      <xdr:rowOff>4762</xdr:rowOff>
    </xdr:from>
    <xdr:to>
      <xdr:col>16</xdr:col>
      <xdr:colOff>438150</xdr:colOff>
      <xdr:row>27</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12</xdr:row>
      <xdr:rowOff>157162</xdr:rowOff>
    </xdr:from>
    <xdr:to>
      <xdr:col>10</xdr:col>
      <xdr:colOff>295274</xdr:colOff>
      <xdr:row>37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457199</xdr:colOff>
      <xdr:row>12</xdr:row>
      <xdr:rowOff>90487</xdr:rowOff>
    </xdr:from>
    <xdr:to>
      <xdr:col>21</xdr:col>
      <xdr:colOff>514349</xdr:colOff>
      <xdr:row>36</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48</xdr:row>
      <xdr:rowOff>33337</xdr:rowOff>
    </xdr:from>
    <xdr:to>
      <xdr:col>11</xdr:col>
      <xdr:colOff>9525</xdr:colOff>
      <xdr:row>71</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790575</xdr:colOff>
      <xdr:row>48</xdr:row>
      <xdr:rowOff>4762</xdr:rowOff>
    </xdr:from>
    <xdr:to>
      <xdr:col>21</xdr:col>
      <xdr:colOff>361950</xdr:colOff>
      <xdr:row>71</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600075</xdr:colOff>
      <xdr:row>86</xdr:row>
      <xdr:rowOff>185736</xdr:rowOff>
    </xdr:from>
    <xdr:to>
      <xdr:col>9</xdr:col>
      <xdr:colOff>600075</xdr:colOff>
      <xdr:row>111</xdr:row>
      <xdr:rowOff>152399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19050</xdr:colOff>
      <xdr:row>86</xdr:row>
      <xdr:rowOff>166687</xdr:rowOff>
    </xdr:from>
    <xdr:to>
      <xdr:col>21</xdr:col>
      <xdr:colOff>200025</xdr:colOff>
      <xdr:row>111</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238125</xdr:colOff>
      <xdr:row>2</xdr:row>
      <xdr:rowOff>147636</xdr:rowOff>
    </xdr:from>
    <xdr:to>
      <xdr:col>21</xdr:col>
      <xdr:colOff>333375</xdr:colOff>
      <xdr:row>26</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12</xdr:row>
      <xdr:rowOff>76200</xdr:rowOff>
    </xdr:from>
    <xdr:to>
      <xdr:col>2</xdr:col>
      <xdr:colOff>0</xdr:colOff>
      <xdr:row>22</xdr:row>
      <xdr:rowOff>85725</xdr:rowOff>
    </xdr:to>
    <xdr:sp macro="" textlink="">
      <xdr:nvSpPr>
        <xdr:cNvPr id="2" name="TextBox 1"/>
        <xdr:cNvSpPr txBox="1"/>
      </xdr:nvSpPr>
      <xdr:spPr>
        <a:xfrm>
          <a:off x="104775" y="2362200"/>
          <a:ext cx="1114425"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table is populated by running the "detailed worksheet" tab for each case.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06"/>
  <sheetViews>
    <sheetView topLeftCell="B13" workbookViewId="0">
      <selection activeCell="F37" sqref="F37"/>
    </sheetView>
  </sheetViews>
  <sheetFormatPr defaultRowHeight="15" x14ac:dyDescent="0.25"/>
  <cols>
    <col min="3" max="3" width="10" bestFit="1" customWidth="1"/>
    <col min="4" max="4" width="13.140625" customWidth="1"/>
    <col min="6" max="6" width="12.5703125" customWidth="1"/>
    <col min="7" max="7" width="12.5703125" hidden="1" customWidth="1"/>
    <col min="9" max="9" width="12.85546875" bestFit="1" customWidth="1"/>
    <col min="10" max="10" width="12.85546875" customWidth="1"/>
    <col min="12" max="12" width="12.85546875" bestFit="1" customWidth="1"/>
    <col min="14" max="14" width="12" style="2" bestFit="1" customWidth="1"/>
    <col min="17" max="19" width="9.140625" style="5"/>
    <col min="20" max="20" width="9.140625" style="4"/>
  </cols>
  <sheetData>
    <row r="2" spans="1:20" x14ac:dyDescent="0.25">
      <c r="E2" s="1" t="s">
        <v>0</v>
      </c>
      <c r="F2" s="18"/>
      <c r="G2" s="18"/>
      <c r="H2" s="1"/>
      <c r="I2" s="1" t="s">
        <v>1</v>
      </c>
      <c r="J2" s="18"/>
    </row>
    <row r="3" spans="1:20" x14ac:dyDescent="0.25">
      <c r="E3">
        <v>138</v>
      </c>
      <c r="I3">
        <v>45.3</v>
      </c>
    </row>
    <row r="4" spans="1:20" x14ac:dyDescent="0.25">
      <c r="E4">
        <v>55</v>
      </c>
      <c r="I4">
        <v>24</v>
      </c>
    </row>
    <row r="5" spans="1:20" x14ac:dyDescent="0.25">
      <c r="E5">
        <v>0</v>
      </c>
      <c r="I5">
        <v>0</v>
      </c>
    </row>
    <row r="13" spans="1:20" x14ac:dyDescent="0.25">
      <c r="C13" s="67" t="s">
        <v>39</v>
      </c>
      <c r="D13" s="67" t="s">
        <v>40</v>
      </c>
      <c r="E13" s="67" t="s">
        <v>41</v>
      </c>
      <c r="H13" s="67" t="s">
        <v>42</v>
      </c>
      <c r="I13" s="67" t="s">
        <v>43</v>
      </c>
      <c r="J13" s="17"/>
      <c r="K13" s="67" t="s">
        <v>44</v>
      </c>
      <c r="L13" s="67" t="s">
        <v>45</v>
      </c>
      <c r="M13" s="67" t="s">
        <v>46</v>
      </c>
      <c r="N13" s="67" t="s">
        <v>47</v>
      </c>
      <c r="O13" s="68" t="s">
        <v>3</v>
      </c>
      <c r="P13" s="68"/>
      <c r="Q13" s="68"/>
      <c r="R13" s="68"/>
      <c r="S13" s="68"/>
      <c r="T13" s="68"/>
    </row>
    <row r="14" spans="1:20" ht="30" x14ac:dyDescent="0.25">
      <c r="C14" s="67"/>
      <c r="D14" s="67"/>
      <c r="E14" s="67"/>
      <c r="F14" s="17" t="s">
        <v>147</v>
      </c>
      <c r="G14" s="17" t="s">
        <v>148</v>
      </c>
      <c r="H14" s="67"/>
      <c r="I14" s="67"/>
      <c r="J14" s="17" t="s">
        <v>146</v>
      </c>
      <c r="K14" s="67"/>
      <c r="L14" s="67"/>
      <c r="M14" s="67"/>
      <c r="N14" s="67"/>
      <c r="O14" t="s">
        <v>4</v>
      </c>
      <c r="P14" t="s">
        <v>5</v>
      </c>
      <c r="Q14" s="5" t="s">
        <v>9</v>
      </c>
      <c r="R14" s="5" t="s">
        <v>6</v>
      </c>
      <c r="S14" s="5" t="s">
        <v>7</v>
      </c>
      <c r="T14" s="4" t="s">
        <v>8</v>
      </c>
    </row>
    <row r="15" spans="1:20" x14ac:dyDescent="0.25">
      <c r="A15" t="s">
        <v>10</v>
      </c>
      <c r="C15" s="3">
        <f t="shared" ref="C15:C46" si="0">F15/100*J15/100</f>
        <v>3.0738000000000026E-2</v>
      </c>
      <c r="D15" s="42">
        <v>2500</v>
      </c>
      <c r="E15">
        <v>25</v>
      </c>
      <c r="F15">
        <f>LOOKUP(E15,'Angle Percentile'!$E$3:$F$10)</f>
        <v>15</v>
      </c>
      <c r="G15">
        <f t="shared" ref="G15:G46" si="1">SIN(H15)</f>
        <v>0.42261826174069944</v>
      </c>
      <c r="H15">
        <f t="shared" ref="H15:H46" si="2">E15*PI()/180</f>
        <v>0.43633231299858238</v>
      </c>
      <c r="I15">
        <v>65</v>
      </c>
      <c r="J15">
        <f>LOOKUP(I15,'Speed Percentiles'!$E$15:$F$17)</f>
        <v>20.492000000000019</v>
      </c>
      <c r="K15">
        <f t="shared" ref="K15:K46" si="3">D15/2.20463</f>
        <v>1133.9771299492434</v>
      </c>
      <c r="L15">
        <f t="shared" ref="L15:L46" si="4">(I15/3600)*(5280*0.3048)</f>
        <v>29.057599999999997</v>
      </c>
      <c r="M15">
        <f t="shared" ref="M15:M46" si="5">(0.5*(K15)*((SIN(H15))*L15)^2)/1000</f>
        <v>85.504761726502778</v>
      </c>
      <c r="N15" s="2">
        <f t="shared" ref="N15:N46" si="6">IF(M15&lt;150,ROUNDUP(-0.0013*(M15^2),1)+(0.508*M15),9999)</f>
        <v>33.836418957063408</v>
      </c>
      <c r="O15" t="str">
        <f t="shared" ref="O15:O46" si="7">IF($N15+6&lt;11, "OK","NO")</f>
        <v>NO</v>
      </c>
      <c r="P15" t="str">
        <f t="shared" ref="P15:P46" si="8">IF($N15+6&lt;17, "OK","NO")</f>
        <v>NO</v>
      </c>
      <c r="Q15" s="5" t="str">
        <f t="shared" ref="Q15:Q46" si="9">IF($N15+6&lt;23, "OK","NO")</f>
        <v>NO</v>
      </c>
      <c r="R15" s="5" t="str">
        <f t="shared" ref="R15:R46" si="10">IF($N15+6&lt;29, "OK","NO")</f>
        <v>NO</v>
      </c>
      <c r="S15" s="5" t="str">
        <f t="shared" ref="S15:S46" si="11">IF($N15+6&lt;35, "OK","NO")</f>
        <v>NO</v>
      </c>
      <c r="T15" s="4" t="str">
        <f t="shared" ref="T15:T46" si="12">IF($N15+6&lt;41, "OK","NO")</f>
        <v>OK</v>
      </c>
    </row>
    <row r="16" spans="1:20" x14ac:dyDescent="0.25">
      <c r="A16" t="s">
        <v>11</v>
      </c>
      <c r="C16" s="3">
        <f t="shared" si="0"/>
        <v>5.3916000000000019E-2</v>
      </c>
      <c r="D16" s="42">
        <v>2500</v>
      </c>
      <c r="E16">
        <v>25</v>
      </c>
      <c r="F16">
        <f>LOOKUP(E16,'Angle Percentile'!$E$3:$F$10)</f>
        <v>15</v>
      </c>
      <c r="G16">
        <f t="shared" si="1"/>
        <v>0.42261826174069944</v>
      </c>
      <c r="H16">
        <f t="shared" si="2"/>
        <v>0.43633231299858238</v>
      </c>
      <c r="I16">
        <v>55</v>
      </c>
      <c r="J16">
        <f>LOOKUP(I16,'Speed Percentiles'!$E$15:$F$17)</f>
        <v>35.944000000000017</v>
      </c>
      <c r="K16">
        <f t="shared" si="3"/>
        <v>1133.9771299492434</v>
      </c>
      <c r="L16">
        <f t="shared" si="4"/>
        <v>24.587199999999999</v>
      </c>
      <c r="M16">
        <f t="shared" si="5"/>
        <v>61.219385614833357</v>
      </c>
      <c r="N16" s="2">
        <f t="shared" si="6"/>
        <v>26.199447892335346</v>
      </c>
      <c r="O16" t="str">
        <f t="shared" si="7"/>
        <v>NO</v>
      </c>
      <c r="P16" t="str">
        <f t="shared" si="8"/>
        <v>NO</v>
      </c>
      <c r="Q16" s="5" t="str">
        <f t="shared" si="9"/>
        <v>NO</v>
      </c>
      <c r="R16" s="5" t="str">
        <f t="shared" si="10"/>
        <v>NO</v>
      </c>
      <c r="S16" s="5" t="str">
        <f t="shared" si="11"/>
        <v>OK</v>
      </c>
      <c r="T16" s="4" t="str">
        <f t="shared" si="12"/>
        <v>OK</v>
      </c>
    </row>
    <row r="17" spans="3:20" x14ac:dyDescent="0.25">
      <c r="C17" s="3">
        <f t="shared" si="0"/>
        <v>5.3279200000000054E-2</v>
      </c>
      <c r="D17" s="42">
        <v>2500</v>
      </c>
      <c r="E17">
        <v>20</v>
      </c>
      <c r="F17">
        <f>LOOKUP(E17,'Angle Percentile'!$E$3:$F$10)</f>
        <v>26</v>
      </c>
      <c r="G17">
        <f t="shared" si="1"/>
        <v>0.34202014332566871</v>
      </c>
      <c r="H17">
        <f t="shared" si="2"/>
        <v>0.3490658503988659</v>
      </c>
      <c r="I17">
        <v>65</v>
      </c>
      <c r="J17">
        <f>LOOKUP(I17,'Speed Percentiles'!$E$15:$F$17)</f>
        <v>20.492000000000019</v>
      </c>
      <c r="K17">
        <f t="shared" si="3"/>
        <v>1133.9771299492434</v>
      </c>
      <c r="L17">
        <f t="shared" si="4"/>
        <v>29.057599999999997</v>
      </c>
      <c r="M17">
        <f t="shared" si="5"/>
        <v>56.001176577746591</v>
      </c>
      <c r="N17" s="2">
        <f t="shared" si="6"/>
        <v>24.348597701495272</v>
      </c>
      <c r="O17" t="str">
        <f t="shared" si="7"/>
        <v>NO</v>
      </c>
      <c r="P17" t="str">
        <f t="shared" si="8"/>
        <v>NO</v>
      </c>
      <c r="Q17" s="5" t="str">
        <f t="shared" si="9"/>
        <v>NO</v>
      </c>
      <c r="R17" s="5" t="str">
        <f t="shared" si="10"/>
        <v>NO</v>
      </c>
      <c r="S17" s="5" t="str">
        <f t="shared" si="11"/>
        <v>OK</v>
      </c>
      <c r="T17" s="4" t="str">
        <f t="shared" si="12"/>
        <v>OK</v>
      </c>
    </row>
    <row r="18" spans="3:20" x14ac:dyDescent="0.25">
      <c r="C18" s="3">
        <f t="shared" si="0"/>
        <v>7.7094000000000024E-2</v>
      </c>
      <c r="D18" s="42">
        <v>2500</v>
      </c>
      <c r="E18">
        <v>25</v>
      </c>
      <c r="F18">
        <f>LOOKUP(E18,'Angle Percentile'!$E$3:$F$10)</f>
        <v>15</v>
      </c>
      <c r="G18">
        <f t="shared" si="1"/>
        <v>0.42261826174069944</v>
      </c>
      <c r="H18">
        <f t="shared" si="2"/>
        <v>0.43633231299858238</v>
      </c>
      <c r="I18">
        <v>45</v>
      </c>
      <c r="J18">
        <f>LOOKUP(I18,'Speed Percentiles'!$E$15:$F$17)</f>
        <v>51.396000000000015</v>
      </c>
      <c r="K18">
        <f t="shared" si="3"/>
        <v>1133.9771299492434</v>
      </c>
      <c r="L18">
        <f t="shared" si="4"/>
        <v>20.116800000000001</v>
      </c>
      <c r="M18">
        <f t="shared" si="5"/>
        <v>40.981572188442172</v>
      </c>
      <c r="N18" s="2">
        <f t="shared" si="6"/>
        <v>18.618638671728625</v>
      </c>
      <c r="O18" t="str">
        <f t="shared" si="7"/>
        <v>NO</v>
      </c>
      <c r="P18" t="str">
        <f t="shared" si="8"/>
        <v>NO</v>
      </c>
      <c r="Q18" s="5" t="str">
        <f t="shared" si="9"/>
        <v>NO</v>
      </c>
      <c r="R18" s="5" t="str">
        <f t="shared" si="10"/>
        <v>OK</v>
      </c>
      <c r="S18" s="5" t="str">
        <f t="shared" si="11"/>
        <v>OK</v>
      </c>
      <c r="T18" s="4" t="str">
        <f t="shared" si="12"/>
        <v>OK</v>
      </c>
    </row>
    <row r="19" spans="3:20" x14ac:dyDescent="0.25">
      <c r="C19" s="3">
        <f t="shared" si="0"/>
        <v>9.3454400000000049E-2</v>
      </c>
      <c r="D19" s="42">
        <v>2500</v>
      </c>
      <c r="E19">
        <v>20</v>
      </c>
      <c r="F19">
        <f>LOOKUP(E19,'Angle Percentile'!$E$3:$F$10)</f>
        <v>26</v>
      </c>
      <c r="G19">
        <f t="shared" si="1"/>
        <v>0.34202014332566871</v>
      </c>
      <c r="H19">
        <f t="shared" si="2"/>
        <v>0.3490658503988659</v>
      </c>
      <c r="I19">
        <v>55</v>
      </c>
      <c r="J19">
        <f>LOOKUP(I19,'Speed Percentiles'!$E$15:$F$17)</f>
        <v>35.944000000000017</v>
      </c>
      <c r="K19">
        <f t="shared" si="3"/>
        <v>1133.9771299492434</v>
      </c>
      <c r="L19">
        <f t="shared" si="4"/>
        <v>24.587199999999999</v>
      </c>
      <c r="M19">
        <f t="shared" si="5"/>
        <v>40.095516958031602</v>
      </c>
      <c r="N19" s="2">
        <f t="shared" si="6"/>
        <v>18.268522614680052</v>
      </c>
      <c r="O19" t="str">
        <f t="shared" si="7"/>
        <v>NO</v>
      </c>
      <c r="P19" t="str">
        <f t="shared" si="8"/>
        <v>NO</v>
      </c>
      <c r="Q19" s="5" t="str">
        <f t="shared" si="9"/>
        <v>NO</v>
      </c>
      <c r="R19" s="5" t="str">
        <f t="shared" si="10"/>
        <v>OK</v>
      </c>
      <c r="S19" s="5" t="str">
        <f t="shared" si="11"/>
        <v>OK</v>
      </c>
      <c r="T19" s="4" t="str">
        <f t="shared" si="12"/>
        <v>OK</v>
      </c>
    </row>
    <row r="20" spans="3:20" x14ac:dyDescent="0.25">
      <c r="C20" s="3">
        <f t="shared" si="0"/>
        <v>9.0164800000000087E-2</v>
      </c>
      <c r="D20" s="42">
        <v>2500</v>
      </c>
      <c r="E20">
        <v>15</v>
      </c>
      <c r="F20">
        <f>LOOKUP(E20,'Angle Percentile'!$E$3:$F$10)</f>
        <v>44</v>
      </c>
      <c r="G20">
        <f t="shared" si="1"/>
        <v>0.25881904510252074</v>
      </c>
      <c r="H20">
        <f t="shared" si="2"/>
        <v>0.26179938779914941</v>
      </c>
      <c r="I20">
        <v>65</v>
      </c>
      <c r="J20">
        <f>LOOKUP(I20,'Speed Percentiles'!$E$15:$F$17)</f>
        <v>20.492000000000019</v>
      </c>
      <c r="K20">
        <f t="shared" si="3"/>
        <v>1133.9771299492434</v>
      </c>
      <c r="L20">
        <f t="shared" si="4"/>
        <v>29.057599999999997</v>
      </c>
      <c r="M20">
        <f t="shared" si="5"/>
        <v>32.069060977318294</v>
      </c>
      <c r="N20" s="2">
        <f t="shared" si="6"/>
        <v>14.891082976477692</v>
      </c>
      <c r="O20" t="str">
        <f t="shared" si="7"/>
        <v>NO</v>
      </c>
      <c r="P20" t="str">
        <f t="shared" si="8"/>
        <v>NO</v>
      </c>
      <c r="Q20" s="5" t="str">
        <f t="shared" si="9"/>
        <v>OK</v>
      </c>
      <c r="R20" s="5" t="str">
        <f t="shared" si="10"/>
        <v>OK</v>
      </c>
      <c r="S20" s="5" t="str">
        <f t="shared" si="11"/>
        <v>OK</v>
      </c>
      <c r="T20" s="4" t="str">
        <f t="shared" si="12"/>
        <v>OK</v>
      </c>
    </row>
    <row r="21" spans="3:20" x14ac:dyDescent="0.25">
      <c r="C21" s="3">
        <f t="shared" si="0"/>
        <v>0.13362960000000004</v>
      </c>
      <c r="D21" s="42">
        <v>2500</v>
      </c>
      <c r="E21">
        <v>20</v>
      </c>
      <c r="F21">
        <f>LOOKUP(E21,'Angle Percentile'!$E$3:$F$10)</f>
        <v>26</v>
      </c>
      <c r="G21">
        <f t="shared" si="1"/>
        <v>0.34202014332566871</v>
      </c>
      <c r="H21">
        <f t="shared" si="2"/>
        <v>0.3490658503988659</v>
      </c>
      <c r="I21">
        <v>45</v>
      </c>
      <c r="J21">
        <f>LOOKUP(I21,'Speed Percentiles'!$E$15:$F$17)</f>
        <v>51.396000000000015</v>
      </c>
      <c r="K21">
        <f t="shared" si="3"/>
        <v>1133.9771299492434</v>
      </c>
      <c r="L21">
        <f t="shared" si="4"/>
        <v>20.116800000000001</v>
      </c>
      <c r="M21">
        <f t="shared" si="5"/>
        <v>26.840800608269092</v>
      </c>
      <c r="N21" s="2">
        <f t="shared" si="6"/>
        <v>12.6351267090007</v>
      </c>
      <c r="O21" t="str">
        <f t="shared" si="7"/>
        <v>NO</v>
      </c>
      <c r="P21" t="str">
        <f t="shared" si="8"/>
        <v>NO</v>
      </c>
      <c r="Q21" s="5" t="str">
        <f t="shared" si="9"/>
        <v>OK</v>
      </c>
      <c r="R21" s="5" t="str">
        <f t="shared" si="10"/>
        <v>OK</v>
      </c>
      <c r="S21" s="5" t="str">
        <f t="shared" si="11"/>
        <v>OK</v>
      </c>
      <c r="T21" s="4" t="str">
        <f t="shared" si="12"/>
        <v>OK</v>
      </c>
    </row>
    <row r="22" spans="3:20" x14ac:dyDescent="0.25">
      <c r="C22" s="3">
        <f t="shared" si="0"/>
        <v>0.15815360000000006</v>
      </c>
      <c r="D22" s="42">
        <v>2500</v>
      </c>
      <c r="E22">
        <v>15</v>
      </c>
      <c r="F22">
        <f>LOOKUP(E22,'Angle Percentile'!$E$3:$F$10)</f>
        <v>44</v>
      </c>
      <c r="G22">
        <f t="shared" si="1"/>
        <v>0.25881904510252074</v>
      </c>
      <c r="H22">
        <f t="shared" si="2"/>
        <v>0.26179938779914941</v>
      </c>
      <c r="I22">
        <v>55</v>
      </c>
      <c r="J22">
        <f>LOOKUP(I22,'Speed Percentiles'!$E$15:$F$17)</f>
        <v>35.944000000000017</v>
      </c>
      <c r="K22">
        <f t="shared" si="3"/>
        <v>1133.9771299492434</v>
      </c>
      <c r="L22">
        <f t="shared" si="4"/>
        <v>24.587199999999999</v>
      </c>
      <c r="M22">
        <f t="shared" si="5"/>
        <v>22.960688628730846</v>
      </c>
      <c r="N22" s="2">
        <f t="shared" si="6"/>
        <v>10.96402982339527</v>
      </c>
      <c r="O22" t="str">
        <f t="shared" si="7"/>
        <v>NO</v>
      </c>
      <c r="P22" t="str">
        <f t="shared" si="8"/>
        <v>OK</v>
      </c>
      <c r="Q22" s="5" t="str">
        <f t="shared" si="9"/>
        <v>OK</v>
      </c>
      <c r="R22" s="5" t="str">
        <f t="shared" si="10"/>
        <v>OK</v>
      </c>
      <c r="S22" s="5" t="str">
        <f t="shared" si="11"/>
        <v>OK</v>
      </c>
      <c r="T22" s="4" t="str">
        <f t="shared" si="12"/>
        <v>OK</v>
      </c>
    </row>
    <row r="23" spans="3:20" x14ac:dyDescent="0.25">
      <c r="C23" s="3">
        <f t="shared" si="0"/>
        <v>0.22614240000000005</v>
      </c>
      <c r="D23" s="42">
        <v>2500</v>
      </c>
      <c r="E23">
        <v>15</v>
      </c>
      <c r="F23">
        <f>LOOKUP(E23,'Angle Percentile'!$E$3:$F$10)</f>
        <v>44</v>
      </c>
      <c r="G23">
        <f t="shared" si="1"/>
        <v>0.25881904510252074</v>
      </c>
      <c r="H23">
        <f t="shared" si="2"/>
        <v>0.26179938779914941</v>
      </c>
      <c r="I23">
        <v>45</v>
      </c>
      <c r="J23">
        <f>LOOKUP(I23,'Speed Percentiles'!$E$15:$F$17)</f>
        <v>51.396000000000015</v>
      </c>
      <c r="K23">
        <f t="shared" si="3"/>
        <v>1133.9771299492434</v>
      </c>
      <c r="L23">
        <f t="shared" si="4"/>
        <v>20.116800000000001</v>
      </c>
      <c r="M23">
        <f t="shared" si="5"/>
        <v>15.370378338241315</v>
      </c>
      <c r="N23" s="2">
        <f t="shared" si="6"/>
        <v>7.4081521958265872</v>
      </c>
      <c r="O23" t="str">
        <f t="shared" si="7"/>
        <v>NO</v>
      </c>
      <c r="P23" t="str">
        <f t="shared" si="8"/>
        <v>OK</v>
      </c>
      <c r="Q23" s="5" t="str">
        <f t="shared" si="9"/>
        <v>OK</v>
      </c>
      <c r="R23" s="5" t="str">
        <f t="shared" si="10"/>
        <v>OK</v>
      </c>
      <c r="S23" s="5" t="str">
        <f t="shared" si="11"/>
        <v>OK</v>
      </c>
      <c r="T23" s="4" t="str">
        <f t="shared" si="12"/>
        <v>OK</v>
      </c>
    </row>
    <row r="24" spans="3:20" x14ac:dyDescent="0.25">
      <c r="C24" s="3">
        <f t="shared" si="0"/>
        <v>0.13729640000000015</v>
      </c>
      <c r="D24" s="42">
        <v>2500</v>
      </c>
      <c r="E24">
        <v>10</v>
      </c>
      <c r="F24">
        <f>LOOKUP(E24,'Angle Percentile'!$E$3:$F$10)</f>
        <v>67</v>
      </c>
      <c r="G24">
        <f t="shared" si="1"/>
        <v>0.17364817766693033</v>
      </c>
      <c r="H24">
        <f t="shared" si="2"/>
        <v>0.17453292519943295</v>
      </c>
      <c r="I24">
        <v>65</v>
      </c>
      <c r="J24">
        <f>LOOKUP(I24,'Speed Percentiles'!$E$15:$F$17)</f>
        <v>20.492000000000019</v>
      </c>
      <c r="K24">
        <f t="shared" si="3"/>
        <v>1133.9771299492434</v>
      </c>
      <c r="L24">
        <f t="shared" si="4"/>
        <v>29.057599999999997</v>
      </c>
      <c r="M24">
        <f t="shared" si="5"/>
        <v>14.435580147502057</v>
      </c>
      <c r="N24" s="2">
        <f t="shared" si="6"/>
        <v>7.0332747149310446</v>
      </c>
      <c r="O24" t="str">
        <f t="shared" si="7"/>
        <v>NO</v>
      </c>
      <c r="P24" t="str">
        <f t="shared" si="8"/>
        <v>OK</v>
      </c>
      <c r="Q24" s="5" t="str">
        <f t="shared" si="9"/>
        <v>OK</v>
      </c>
      <c r="R24" s="5" t="str">
        <f t="shared" si="10"/>
        <v>OK</v>
      </c>
      <c r="S24" s="5" t="str">
        <f t="shared" si="11"/>
        <v>OK</v>
      </c>
      <c r="T24" s="4" t="str">
        <f t="shared" si="12"/>
        <v>OK</v>
      </c>
    </row>
    <row r="25" spans="3:20" x14ac:dyDescent="0.25">
      <c r="C25" s="3">
        <f t="shared" si="0"/>
        <v>0.24082480000000012</v>
      </c>
      <c r="D25" s="42">
        <v>2500</v>
      </c>
      <c r="E25">
        <v>10</v>
      </c>
      <c r="F25">
        <f>LOOKUP(E25,'Angle Percentile'!$E$3:$F$10)</f>
        <v>67</v>
      </c>
      <c r="G25">
        <f t="shared" si="1"/>
        <v>0.17364817766693033</v>
      </c>
      <c r="H25">
        <f t="shared" si="2"/>
        <v>0.17453292519943295</v>
      </c>
      <c r="I25">
        <v>55</v>
      </c>
      <c r="J25">
        <f>LOOKUP(I25,'Speed Percentiles'!$E$15:$F$17)</f>
        <v>35.944000000000017</v>
      </c>
      <c r="K25">
        <f t="shared" si="3"/>
        <v>1133.9771299492434</v>
      </c>
      <c r="L25">
        <f t="shared" si="4"/>
        <v>24.587199999999999</v>
      </c>
      <c r="M25">
        <f t="shared" si="5"/>
        <v>10.33553371507544</v>
      </c>
      <c r="N25" s="2">
        <f t="shared" si="6"/>
        <v>5.0504511272583237</v>
      </c>
      <c r="O25" t="str">
        <f t="shared" si="7"/>
        <v>NO</v>
      </c>
      <c r="P25" t="str">
        <f t="shared" si="8"/>
        <v>OK</v>
      </c>
      <c r="Q25" s="5" t="str">
        <f t="shared" si="9"/>
        <v>OK</v>
      </c>
      <c r="R25" s="5" t="str">
        <f t="shared" si="10"/>
        <v>OK</v>
      </c>
      <c r="S25" s="5" t="str">
        <f t="shared" si="11"/>
        <v>OK</v>
      </c>
      <c r="T25" s="4" t="str">
        <f t="shared" si="12"/>
        <v>OK</v>
      </c>
    </row>
    <row r="26" spans="3:20" x14ac:dyDescent="0.25">
      <c r="C26" s="3">
        <f t="shared" si="0"/>
        <v>0.34435320000000014</v>
      </c>
      <c r="D26" s="42">
        <v>2500</v>
      </c>
      <c r="E26">
        <v>10</v>
      </c>
      <c r="F26">
        <f>LOOKUP(E26,'Angle Percentile'!$E$3:$F$10)</f>
        <v>67</v>
      </c>
      <c r="G26">
        <f t="shared" si="1"/>
        <v>0.17364817766693033</v>
      </c>
      <c r="H26">
        <f t="shared" si="2"/>
        <v>0.17453292519943295</v>
      </c>
      <c r="I26">
        <v>45</v>
      </c>
      <c r="J26">
        <f>LOOKUP(I26,'Speed Percentiles'!$E$15:$F$17)</f>
        <v>51.396000000000015</v>
      </c>
      <c r="K26">
        <f t="shared" si="3"/>
        <v>1133.9771299492434</v>
      </c>
      <c r="L26">
        <f t="shared" si="4"/>
        <v>20.116800000000001</v>
      </c>
      <c r="M26">
        <f t="shared" si="5"/>
        <v>6.9188283547199223</v>
      </c>
      <c r="N26" s="2">
        <f t="shared" si="6"/>
        <v>3.4147648041977203</v>
      </c>
      <c r="O26" t="str">
        <f t="shared" si="7"/>
        <v>OK</v>
      </c>
      <c r="P26" t="str">
        <f t="shared" si="8"/>
        <v>OK</v>
      </c>
      <c r="Q26" s="5" t="str">
        <f t="shared" si="9"/>
        <v>OK</v>
      </c>
      <c r="R26" s="5" t="str">
        <f t="shared" si="10"/>
        <v>OK</v>
      </c>
      <c r="S26" s="5" t="str">
        <f t="shared" si="11"/>
        <v>OK</v>
      </c>
      <c r="T26" s="4" t="str">
        <f t="shared" si="12"/>
        <v>OK</v>
      </c>
    </row>
    <row r="27" spans="3:20" x14ac:dyDescent="0.25">
      <c r="C27" s="3">
        <f t="shared" si="0"/>
        <v>0.18442800000000015</v>
      </c>
      <c r="D27" s="42">
        <v>2500</v>
      </c>
      <c r="E27">
        <v>5</v>
      </c>
      <c r="F27">
        <f>LOOKUP(E27,'Angle Percentile'!$E$3:$F$10)</f>
        <v>90</v>
      </c>
      <c r="G27">
        <f t="shared" si="1"/>
        <v>8.7155742747658166E-2</v>
      </c>
      <c r="H27">
        <f t="shared" si="2"/>
        <v>8.7266462599716474E-2</v>
      </c>
      <c r="I27">
        <v>65</v>
      </c>
      <c r="J27">
        <f>LOOKUP(I27,'Speed Percentiles'!$E$15:$F$17)</f>
        <v>20.492000000000019</v>
      </c>
      <c r="K27">
        <f t="shared" si="3"/>
        <v>1133.9771299492434</v>
      </c>
      <c r="L27">
        <f t="shared" si="4"/>
        <v>29.057599999999997</v>
      </c>
      <c r="M27">
        <f t="shared" si="5"/>
        <v>3.6365184803400119</v>
      </c>
      <c r="N27" s="2">
        <f t="shared" si="6"/>
        <v>1.747351388012726</v>
      </c>
      <c r="O27" t="str">
        <f t="shared" si="7"/>
        <v>OK</v>
      </c>
      <c r="P27" t="str">
        <f t="shared" si="8"/>
        <v>OK</v>
      </c>
      <c r="Q27" s="5" t="str">
        <f t="shared" si="9"/>
        <v>OK</v>
      </c>
      <c r="R27" s="5" t="str">
        <f t="shared" si="10"/>
        <v>OK</v>
      </c>
      <c r="S27" s="5" t="str">
        <f t="shared" si="11"/>
        <v>OK</v>
      </c>
      <c r="T27" s="4" t="str">
        <f t="shared" si="12"/>
        <v>OK</v>
      </c>
    </row>
    <row r="28" spans="3:20" x14ac:dyDescent="0.25">
      <c r="C28" s="3">
        <f t="shared" si="0"/>
        <v>0.32349600000000017</v>
      </c>
      <c r="D28" s="42">
        <v>2500</v>
      </c>
      <c r="E28">
        <v>5</v>
      </c>
      <c r="F28">
        <f>LOOKUP(E28,'Angle Percentile'!$E$3:$F$10)</f>
        <v>90</v>
      </c>
      <c r="G28">
        <f t="shared" si="1"/>
        <v>8.7155742747658166E-2</v>
      </c>
      <c r="H28">
        <f t="shared" si="2"/>
        <v>8.7266462599716474E-2</v>
      </c>
      <c r="I28">
        <v>55</v>
      </c>
      <c r="J28">
        <f>LOOKUP(I28,'Speed Percentiles'!$E$15:$F$17)</f>
        <v>35.944000000000017</v>
      </c>
      <c r="K28">
        <f t="shared" si="3"/>
        <v>1133.9771299492434</v>
      </c>
      <c r="L28">
        <f t="shared" si="4"/>
        <v>24.587199999999999</v>
      </c>
      <c r="M28">
        <f t="shared" si="5"/>
        <v>2.6036611604801267</v>
      </c>
      <c r="N28" s="2">
        <f t="shared" si="6"/>
        <v>1.2226598695239044</v>
      </c>
      <c r="O28" t="str">
        <f t="shared" si="7"/>
        <v>OK</v>
      </c>
      <c r="P28" t="str">
        <f t="shared" si="8"/>
        <v>OK</v>
      </c>
      <c r="Q28" s="5" t="str">
        <f t="shared" si="9"/>
        <v>OK</v>
      </c>
      <c r="R28" s="5" t="str">
        <f t="shared" si="10"/>
        <v>OK</v>
      </c>
      <c r="S28" s="5" t="str">
        <f t="shared" si="11"/>
        <v>OK</v>
      </c>
      <c r="T28" s="4" t="str">
        <f t="shared" si="12"/>
        <v>OK</v>
      </c>
    </row>
    <row r="29" spans="3:20" x14ac:dyDescent="0.25">
      <c r="C29" s="3">
        <f t="shared" si="0"/>
        <v>0.46256400000000014</v>
      </c>
      <c r="D29" s="42">
        <v>2500</v>
      </c>
      <c r="E29">
        <v>5</v>
      </c>
      <c r="F29">
        <f>LOOKUP(E29,'Angle Percentile'!$E$3:$F$10)</f>
        <v>90</v>
      </c>
      <c r="G29">
        <f t="shared" si="1"/>
        <v>8.7155742747658166E-2</v>
      </c>
      <c r="H29">
        <f t="shared" si="2"/>
        <v>8.7266462599716474E-2</v>
      </c>
      <c r="I29">
        <v>45</v>
      </c>
      <c r="J29">
        <f>LOOKUP(I29,'Speed Percentiles'!$E$15:$F$17)</f>
        <v>51.396000000000015</v>
      </c>
      <c r="K29">
        <f t="shared" si="3"/>
        <v>1133.9771299492434</v>
      </c>
      <c r="L29">
        <f t="shared" si="4"/>
        <v>20.116800000000001</v>
      </c>
      <c r="M29">
        <f t="shared" si="5"/>
        <v>1.7429467272635566</v>
      </c>
      <c r="N29" s="2">
        <f t="shared" si="6"/>
        <v>0.78541693744988683</v>
      </c>
      <c r="O29" t="str">
        <f t="shared" si="7"/>
        <v>OK</v>
      </c>
      <c r="P29" t="str">
        <f t="shared" si="8"/>
        <v>OK</v>
      </c>
      <c r="Q29" s="5" t="str">
        <f t="shared" si="9"/>
        <v>OK</v>
      </c>
      <c r="R29" s="5" t="str">
        <f t="shared" si="10"/>
        <v>OK</v>
      </c>
      <c r="S29" s="5" t="str">
        <f t="shared" si="11"/>
        <v>OK</v>
      </c>
      <c r="T29" s="4" t="str">
        <f t="shared" si="12"/>
        <v>OK</v>
      </c>
    </row>
    <row r="30" spans="3:20" x14ac:dyDescent="0.25">
      <c r="C30" s="3">
        <f t="shared" si="0"/>
        <v>0.20082160000000018</v>
      </c>
      <c r="D30" s="42">
        <v>2500</v>
      </c>
      <c r="E30">
        <v>3</v>
      </c>
      <c r="F30">
        <f>LOOKUP(E30,'Angle Percentile'!$E$3:$F$10)</f>
        <v>98</v>
      </c>
      <c r="G30">
        <f t="shared" si="1"/>
        <v>5.2335956242943828E-2</v>
      </c>
      <c r="H30">
        <f t="shared" si="2"/>
        <v>5.2359877559829883E-2</v>
      </c>
      <c r="I30">
        <v>65</v>
      </c>
      <c r="J30">
        <f>LOOKUP(I30,'Speed Percentiles'!$E$15:$F$17)</f>
        <v>20.492000000000019</v>
      </c>
      <c r="K30">
        <f t="shared" si="3"/>
        <v>1133.9771299492434</v>
      </c>
      <c r="L30">
        <f t="shared" si="4"/>
        <v>29.057599999999997</v>
      </c>
      <c r="M30">
        <f t="shared" si="5"/>
        <v>1.3112759913999792</v>
      </c>
      <c r="N30" s="2">
        <f t="shared" si="6"/>
        <v>0.56612820363118943</v>
      </c>
      <c r="O30" t="str">
        <f t="shared" si="7"/>
        <v>OK</v>
      </c>
      <c r="P30" t="str">
        <f t="shared" si="8"/>
        <v>OK</v>
      </c>
      <c r="Q30" s="5" t="str">
        <f t="shared" si="9"/>
        <v>OK</v>
      </c>
      <c r="R30" s="5" t="str">
        <f t="shared" si="10"/>
        <v>OK</v>
      </c>
      <c r="S30" s="5" t="str">
        <f t="shared" si="11"/>
        <v>OK</v>
      </c>
      <c r="T30" s="4" t="str">
        <f t="shared" si="12"/>
        <v>OK</v>
      </c>
    </row>
    <row r="31" spans="3:20" x14ac:dyDescent="0.25">
      <c r="C31" s="3">
        <f t="shared" si="0"/>
        <v>0.35225120000000021</v>
      </c>
      <c r="D31" s="42">
        <v>2500</v>
      </c>
      <c r="E31">
        <v>3</v>
      </c>
      <c r="F31">
        <f>LOOKUP(E31,'Angle Percentile'!$E$3:$F$10)</f>
        <v>98</v>
      </c>
      <c r="G31">
        <f t="shared" si="1"/>
        <v>5.2335956242943828E-2</v>
      </c>
      <c r="H31">
        <f t="shared" si="2"/>
        <v>5.2359877559829883E-2</v>
      </c>
      <c r="I31">
        <v>55</v>
      </c>
      <c r="J31">
        <f>LOOKUP(I31,'Speed Percentiles'!$E$15:$F$17)</f>
        <v>35.944000000000017</v>
      </c>
      <c r="K31">
        <f t="shared" si="3"/>
        <v>1133.9771299492434</v>
      </c>
      <c r="L31">
        <f t="shared" si="4"/>
        <v>24.587199999999999</v>
      </c>
      <c r="M31">
        <f t="shared" si="5"/>
        <v>0.93884257372424551</v>
      </c>
      <c r="N31" s="2">
        <f t="shared" si="6"/>
        <v>0.37693202745191667</v>
      </c>
      <c r="O31" t="str">
        <f t="shared" si="7"/>
        <v>OK</v>
      </c>
      <c r="P31" t="str">
        <f t="shared" si="8"/>
        <v>OK</v>
      </c>
      <c r="Q31" s="5" t="str">
        <f t="shared" si="9"/>
        <v>OK</v>
      </c>
      <c r="R31" s="5" t="str">
        <f t="shared" si="10"/>
        <v>OK</v>
      </c>
      <c r="S31" s="5" t="str">
        <f t="shared" si="11"/>
        <v>OK</v>
      </c>
      <c r="T31" s="4" t="str">
        <f t="shared" si="12"/>
        <v>OK</v>
      </c>
    </row>
    <row r="32" spans="3:20" x14ac:dyDescent="0.25">
      <c r="C32" s="3">
        <f t="shared" si="0"/>
        <v>0.50368080000000015</v>
      </c>
      <c r="D32" s="42">
        <v>2500</v>
      </c>
      <c r="E32">
        <v>3</v>
      </c>
      <c r="F32">
        <f>LOOKUP(E32,'Angle Percentile'!$E$3:$F$10)</f>
        <v>98</v>
      </c>
      <c r="G32">
        <f t="shared" si="1"/>
        <v>5.2335956242943828E-2</v>
      </c>
      <c r="H32">
        <f t="shared" si="2"/>
        <v>5.2359877559829883E-2</v>
      </c>
      <c r="I32">
        <v>45</v>
      </c>
      <c r="J32">
        <f>LOOKUP(I32,'Speed Percentiles'!$E$15:$F$17)</f>
        <v>51.396000000000015</v>
      </c>
      <c r="K32">
        <f t="shared" si="3"/>
        <v>1133.9771299492434</v>
      </c>
      <c r="L32">
        <f t="shared" si="4"/>
        <v>20.116800000000001</v>
      </c>
      <c r="M32">
        <f t="shared" si="5"/>
        <v>0.62848139232780076</v>
      </c>
      <c r="N32" s="2">
        <f t="shared" si="6"/>
        <v>0.21926854730252279</v>
      </c>
      <c r="O32" t="str">
        <f t="shared" si="7"/>
        <v>OK</v>
      </c>
      <c r="P32" t="str">
        <f t="shared" si="8"/>
        <v>OK</v>
      </c>
      <c r="Q32" s="5" t="str">
        <f t="shared" si="9"/>
        <v>OK</v>
      </c>
      <c r="R32" s="5" t="str">
        <f t="shared" si="10"/>
        <v>OK</v>
      </c>
      <c r="S32" s="5" t="str">
        <f t="shared" si="11"/>
        <v>OK</v>
      </c>
      <c r="T32" s="4" t="str">
        <f t="shared" si="12"/>
        <v>OK</v>
      </c>
    </row>
    <row r="33" spans="3:20" x14ac:dyDescent="0.25">
      <c r="C33" s="3">
        <f t="shared" si="0"/>
        <v>3.0738000000000026E-2</v>
      </c>
      <c r="D33">
        <v>3500</v>
      </c>
      <c r="E33">
        <v>25</v>
      </c>
      <c r="F33">
        <f>LOOKUP(E33,'Angle Percentile'!$E$3:$F$10)</f>
        <v>15</v>
      </c>
      <c r="G33">
        <f t="shared" si="1"/>
        <v>0.42261826174069944</v>
      </c>
      <c r="H33">
        <f t="shared" si="2"/>
        <v>0.43633231299858238</v>
      </c>
      <c r="I33">
        <v>65</v>
      </c>
      <c r="J33">
        <f>LOOKUP(I33,'Speed Percentiles'!$E$15:$F$17)</f>
        <v>20.492000000000019</v>
      </c>
      <c r="K33">
        <f t="shared" si="3"/>
        <v>1587.5679819289405</v>
      </c>
      <c r="L33">
        <f t="shared" si="4"/>
        <v>29.057599999999997</v>
      </c>
      <c r="M33">
        <f t="shared" si="5"/>
        <v>119.70666641710388</v>
      </c>
      <c r="N33" s="2">
        <f t="shared" si="6"/>
        <v>42.110986539888764</v>
      </c>
      <c r="O33" t="str">
        <f t="shared" si="7"/>
        <v>NO</v>
      </c>
      <c r="P33" t="str">
        <f t="shared" si="8"/>
        <v>NO</v>
      </c>
      <c r="Q33" s="5" t="str">
        <f t="shared" si="9"/>
        <v>NO</v>
      </c>
      <c r="R33" s="5" t="str">
        <f t="shared" si="10"/>
        <v>NO</v>
      </c>
      <c r="S33" s="5" t="str">
        <f t="shared" si="11"/>
        <v>NO</v>
      </c>
      <c r="T33" s="4" t="str">
        <f t="shared" si="12"/>
        <v>NO</v>
      </c>
    </row>
    <row r="34" spans="3:20" x14ac:dyDescent="0.25">
      <c r="C34" s="3">
        <f t="shared" si="0"/>
        <v>5.3916000000000019E-2</v>
      </c>
      <c r="D34">
        <v>3500</v>
      </c>
      <c r="E34">
        <v>25</v>
      </c>
      <c r="F34">
        <f>LOOKUP(E34,'Angle Percentile'!$E$3:$F$10)</f>
        <v>15</v>
      </c>
      <c r="G34">
        <f t="shared" si="1"/>
        <v>0.42261826174069944</v>
      </c>
      <c r="H34">
        <f t="shared" si="2"/>
        <v>0.43633231299858238</v>
      </c>
      <c r="I34">
        <v>55</v>
      </c>
      <c r="J34">
        <f>LOOKUP(I34,'Speed Percentiles'!$E$15:$F$17)</f>
        <v>35.944000000000017</v>
      </c>
      <c r="K34">
        <f t="shared" si="3"/>
        <v>1587.5679819289405</v>
      </c>
      <c r="L34">
        <f t="shared" si="4"/>
        <v>24.587199999999999</v>
      </c>
      <c r="M34">
        <f t="shared" si="5"/>
        <v>85.707139860766688</v>
      </c>
      <c r="N34" s="2">
        <f t="shared" si="6"/>
        <v>33.939227049269476</v>
      </c>
      <c r="O34" t="str">
        <f t="shared" si="7"/>
        <v>NO</v>
      </c>
      <c r="P34" t="str">
        <f t="shared" si="8"/>
        <v>NO</v>
      </c>
      <c r="Q34" s="5" t="str">
        <f t="shared" si="9"/>
        <v>NO</v>
      </c>
      <c r="R34" s="5" t="str">
        <f t="shared" si="10"/>
        <v>NO</v>
      </c>
      <c r="S34" s="5" t="str">
        <f t="shared" si="11"/>
        <v>NO</v>
      </c>
      <c r="T34" s="4" t="str">
        <f t="shared" si="12"/>
        <v>OK</v>
      </c>
    </row>
    <row r="35" spans="3:20" x14ac:dyDescent="0.25">
      <c r="C35" s="3">
        <f t="shared" si="0"/>
        <v>5.3279200000000054E-2</v>
      </c>
      <c r="D35">
        <v>3500</v>
      </c>
      <c r="E35">
        <v>20</v>
      </c>
      <c r="F35">
        <f>LOOKUP(E35,'Angle Percentile'!$E$3:$F$10)</f>
        <v>26</v>
      </c>
      <c r="G35">
        <f t="shared" si="1"/>
        <v>0.34202014332566871</v>
      </c>
      <c r="H35">
        <f t="shared" si="2"/>
        <v>0.3490658503988659</v>
      </c>
      <c r="I35">
        <v>65</v>
      </c>
      <c r="J35">
        <f>LOOKUP(I35,'Speed Percentiles'!$E$15:$F$17)</f>
        <v>20.492000000000019</v>
      </c>
      <c r="K35">
        <f t="shared" si="3"/>
        <v>1587.5679819289405</v>
      </c>
      <c r="L35">
        <f t="shared" si="4"/>
        <v>29.057599999999997</v>
      </c>
      <c r="M35">
        <f t="shared" si="5"/>
        <v>78.401647208845219</v>
      </c>
      <c r="N35" s="2">
        <f t="shared" si="6"/>
        <v>31.828036782093371</v>
      </c>
      <c r="O35" t="str">
        <f t="shared" si="7"/>
        <v>NO</v>
      </c>
      <c r="P35" t="str">
        <f t="shared" si="8"/>
        <v>NO</v>
      </c>
      <c r="Q35" s="5" t="str">
        <f t="shared" si="9"/>
        <v>NO</v>
      </c>
      <c r="R35" s="5" t="str">
        <f t="shared" si="10"/>
        <v>NO</v>
      </c>
      <c r="S35" s="5" t="str">
        <f t="shared" si="11"/>
        <v>NO</v>
      </c>
      <c r="T35" s="4" t="str">
        <f t="shared" si="12"/>
        <v>OK</v>
      </c>
    </row>
    <row r="36" spans="3:20" x14ac:dyDescent="0.25">
      <c r="C36" s="3">
        <f t="shared" si="0"/>
        <v>7.7094000000000024E-2</v>
      </c>
      <c r="D36">
        <v>3500</v>
      </c>
      <c r="E36">
        <v>25</v>
      </c>
      <c r="F36">
        <f>LOOKUP(E36,'Angle Percentile'!$E$3:$F$10)</f>
        <v>15</v>
      </c>
      <c r="G36">
        <f t="shared" si="1"/>
        <v>0.42261826174069944</v>
      </c>
      <c r="H36">
        <f t="shared" si="2"/>
        <v>0.43633231299858238</v>
      </c>
      <c r="I36">
        <v>45</v>
      </c>
      <c r="J36">
        <f>LOOKUP(I36,'Speed Percentiles'!$E$15:$F$17)</f>
        <v>51.396000000000015</v>
      </c>
      <c r="K36">
        <f t="shared" si="3"/>
        <v>1587.5679819289405</v>
      </c>
      <c r="L36">
        <f t="shared" si="4"/>
        <v>20.116800000000001</v>
      </c>
      <c r="M36">
        <f t="shared" si="5"/>
        <v>57.374201063819044</v>
      </c>
      <c r="N36" s="2">
        <f t="shared" si="6"/>
        <v>24.846094140420075</v>
      </c>
      <c r="O36" t="str">
        <f t="shared" si="7"/>
        <v>NO</v>
      </c>
      <c r="P36" t="str">
        <f t="shared" si="8"/>
        <v>NO</v>
      </c>
      <c r="Q36" s="5" t="str">
        <f t="shared" si="9"/>
        <v>NO</v>
      </c>
      <c r="R36" s="5" t="str">
        <f t="shared" si="10"/>
        <v>NO</v>
      </c>
      <c r="S36" s="5" t="str">
        <f t="shared" si="11"/>
        <v>OK</v>
      </c>
      <c r="T36" s="4" t="str">
        <f t="shared" si="12"/>
        <v>OK</v>
      </c>
    </row>
    <row r="37" spans="3:20" x14ac:dyDescent="0.25">
      <c r="C37" s="3">
        <f t="shared" si="0"/>
        <v>9.3454400000000049E-2</v>
      </c>
      <c r="D37">
        <v>3500</v>
      </c>
      <c r="E37">
        <v>20</v>
      </c>
      <c r="F37">
        <f>LOOKUP(E37,'Angle Percentile'!$E$3:$F$10)</f>
        <v>26</v>
      </c>
      <c r="G37">
        <f t="shared" si="1"/>
        <v>0.34202014332566871</v>
      </c>
      <c r="H37">
        <f t="shared" si="2"/>
        <v>0.3490658503988659</v>
      </c>
      <c r="I37">
        <v>55</v>
      </c>
      <c r="J37">
        <f>LOOKUP(I37,'Speed Percentiles'!$E$15:$F$17)</f>
        <v>35.944000000000017</v>
      </c>
      <c r="K37">
        <f t="shared" si="3"/>
        <v>1587.5679819289405</v>
      </c>
      <c r="L37">
        <f t="shared" si="4"/>
        <v>24.587199999999999</v>
      </c>
      <c r="M37">
        <f t="shared" si="5"/>
        <v>56.133723741244232</v>
      </c>
      <c r="N37" s="2">
        <f t="shared" si="6"/>
        <v>24.415931660552069</v>
      </c>
      <c r="O37" t="str">
        <f t="shared" si="7"/>
        <v>NO</v>
      </c>
      <c r="P37" t="str">
        <f t="shared" si="8"/>
        <v>NO</v>
      </c>
      <c r="Q37" s="5" t="str">
        <f t="shared" si="9"/>
        <v>NO</v>
      </c>
      <c r="R37" s="5" t="str">
        <f t="shared" si="10"/>
        <v>NO</v>
      </c>
      <c r="S37" s="5" t="str">
        <f t="shared" si="11"/>
        <v>OK</v>
      </c>
      <c r="T37" s="4" t="str">
        <f t="shared" si="12"/>
        <v>OK</v>
      </c>
    </row>
    <row r="38" spans="3:20" x14ac:dyDescent="0.25">
      <c r="C38" s="3">
        <f t="shared" si="0"/>
        <v>9.0164800000000087E-2</v>
      </c>
      <c r="D38">
        <v>3500</v>
      </c>
      <c r="E38">
        <v>15</v>
      </c>
      <c r="F38">
        <f>LOOKUP(E38,'Angle Percentile'!$E$3:$F$10)</f>
        <v>44</v>
      </c>
      <c r="G38">
        <f t="shared" si="1"/>
        <v>0.25881904510252074</v>
      </c>
      <c r="H38">
        <f t="shared" si="2"/>
        <v>0.26179938779914941</v>
      </c>
      <c r="I38">
        <v>65</v>
      </c>
      <c r="J38">
        <f>LOOKUP(I38,'Speed Percentiles'!$E$15:$F$17)</f>
        <v>20.492000000000019</v>
      </c>
      <c r="K38">
        <f t="shared" si="3"/>
        <v>1587.5679819289405</v>
      </c>
      <c r="L38">
        <f t="shared" si="4"/>
        <v>29.057599999999997</v>
      </c>
      <c r="M38">
        <f t="shared" si="5"/>
        <v>44.896685368245613</v>
      </c>
      <c r="N38" s="2">
        <f t="shared" si="6"/>
        <v>20.107516167068773</v>
      </c>
      <c r="O38" t="str">
        <f t="shared" si="7"/>
        <v>NO</v>
      </c>
      <c r="P38" t="str">
        <f t="shared" si="8"/>
        <v>NO</v>
      </c>
      <c r="Q38" s="5" t="str">
        <f t="shared" si="9"/>
        <v>NO</v>
      </c>
      <c r="R38" s="5" t="str">
        <f t="shared" si="10"/>
        <v>OK</v>
      </c>
      <c r="S38" s="5" t="str">
        <f t="shared" si="11"/>
        <v>OK</v>
      </c>
      <c r="T38" s="4" t="str">
        <f t="shared" si="12"/>
        <v>OK</v>
      </c>
    </row>
    <row r="39" spans="3:20" x14ac:dyDescent="0.25">
      <c r="C39" s="3">
        <f t="shared" si="0"/>
        <v>0.13362960000000004</v>
      </c>
      <c r="D39">
        <v>3500</v>
      </c>
      <c r="E39">
        <v>20</v>
      </c>
      <c r="F39">
        <f>LOOKUP(E39,'Angle Percentile'!$E$3:$F$10)</f>
        <v>26</v>
      </c>
      <c r="G39">
        <f t="shared" si="1"/>
        <v>0.34202014332566871</v>
      </c>
      <c r="H39">
        <f t="shared" si="2"/>
        <v>0.3490658503988659</v>
      </c>
      <c r="I39">
        <v>45</v>
      </c>
      <c r="J39">
        <f>LOOKUP(I39,'Speed Percentiles'!$E$15:$F$17)</f>
        <v>51.396000000000015</v>
      </c>
      <c r="K39">
        <f t="shared" si="3"/>
        <v>1587.5679819289405</v>
      </c>
      <c r="L39">
        <f t="shared" si="4"/>
        <v>20.116800000000001</v>
      </c>
      <c r="M39">
        <f t="shared" si="5"/>
        <v>37.577120851576723</v>
      </c>
      <c r="N39" s="2">
        <f t="shared" si="6"/>
        <v>17.189177392600978</v>
      </c>
      <c r="O39" t="str">
        <f t="shared" si="7"/>
        <v>NO</v>
      </c>
      <c r="P39" t="str">
        <f t="shared" si="8"/>
        <v>NO</v>
      </c>
      <c r="Q39" s="5" t="str">
        <f t="shared" si="9"/>
        <v>NO</v>
      </c>
      <c r="R39" s="5" t="str">
        <f t="shared" si="10"/>
        <v>OK</v>
      </c>
      <c r="S39" s="5" t="str">
        <f t="shared" si="11"/>
        <v>OK</v>
      </c>
      <c r="T39" s="4" t="str">
        <f t="shared" si="12"/>
        <v>OK</v>
      </c>
    </row>
    <row r="40" spans="3:20" x14ac:dyDescent="0.25">
      <c r="C40" s="3">
        <f t="shared" si="0"/>
        <v>0.15815360000000006</v>
      </c>
      <c r="D40">
        <v>3500</v>
      </c>
      <c r="E40">
        <v>15</v>
      </c>
      <c r="F40">
        <f>LOOKUP(E40,'Angle Percentile'!$E$3:$F$10)</f>
        <v>44</v>
      </c>
      <c r="G40">
        <f t="shared" si="1"/>
        <v>0.25881904510252074</v>
      </c>
      <c r="H40">
        <f t="shared" si="2"/>
        <v>0.26179938779914941</v>
      </c>
      <c r="I40">
        <v>55</v>
      </c>
      <c r="J40">
        <f>LOOKUP(I40,'Speed Percentiles'!$E$15:$F$17)</f>
        <v>35.944000000000017</v>
      </c>
      <c r="K40">
        <f t="shared" si="3"/>
        <v>1587.5679819289405</v>
      </c>
      <c r="L40">
        <f t="shared" si="4"/>
        <v>24.587199999999999</v>
      </c>
      <c r="M40">
        <f t="shared" si="5"/>
        <v>32.144964080223183</v>
      </c>
      <c r="N40" s="2">
        <f t="shared" si="6"/>
        <v>14.929641752753378</v>
      </c>
      <c r="O40" t="str">
        <f t="shared" si="7"/>
        <v>NO</v>
      </c>
      <c r="P40" t="str">
        <f t="shared" si="8"/>
        <v>NO</v>
      </c>
      <c r="Q40" s="5" t="str">
        <f t="shared" si="9"/>
        <v>OK</v>
      </c>
      <c r="R40" s="5" t="str">
        <f t="shared" si="10"/>
        <v>OK</v>
      </c>
      <c r="S40" s="5" t="str">
        <f t="shared" si="11"/>
        <v>OK</v>
      </c>
      <c r="T40" s="4" t="str">
        <f t="shared" si="12"/>
        <v>OK</v>
      </c>
    </row>
    <row r="41" spans="3:20" x14ac:dyDescent="0.25">
      <c r="C41" s="3">
        <f t="shared" si="0"/>
        <v>0.22614240000000005</v>
      </c>
      <c r="D41">
        <v>3500</v>
      </c>
      <c r="E41">
        <v>15</v>
      </c>
      <c r="F41">
        <f>LOOKUP(E41,'Angle Percentile'!$E$3:$F$10)</f>
        <v>44</v>
      </c>
      <c r="G41">
        <f t="shared" si="1"/>
        <v>0.25881904510252074</v>
      </c>
      <c r="H41">
        <f t="shared" si="2"/>
        <v>0.26179938779914941</v>
      </c>
      <c r="I41">
        <v>45</v>
      </c>
      <c r="J41">
        <f>LOOKUP(I41,'Speed Percentiles'!$E$15:$F$17)</f>
        <v>51.396000000000015</v>
      </c>
      <c r="K41">
        <f t="shared" si="3"/>
        <v>1587.5679819289405</v>
      </c>
      <c r="L41">
        <f t="shared" si="4"/>
        <v>20.116800000000001</v>
      </c>
      <c r="M41">
        <f t="shared" si="5"/>
        <v>21.518529673537838</v>
      </c>
      <c r="N41" s="2">
        <f t="shared" si="6"/>
        <v>10.231413074157222</v>
      </c>
      <c r="O41" t="str">
        <f t="shared" si="7"/>
        <v>NO</v>
      </c>
      <c r="P41" t="str">
        <f t="shared" si="8"/>
        <v>OK</v>
      </c>
      <c r="Q41" s="5" t="str">
        <f t="shared" si="9"/>
        <v>OK</v>
      </c>
      <c r="R41" s="5" t="str">
        <f t="shared" si="10"/>
        <v>OK</v>
      </c>
      <c r="S41" s="5" t="str">
        <f t="shared" si="11"/>
        <v>OK</v>
      </c>
      <c r="T41" s="4" t="str">
        <f t="shared" si="12"/>
        <v>OK</v>
      </c>
    </row>
    <row r="42" spans="3:20" x14ac:dyDescent="0.25">
      <c r="C42" s="3">
        <f t="shared" si="0"/>
        <v>0.13729640000000015</v>
      </c>
      <c r="D42">
        <v>3500</v>
      </c>
      <c r="E42">
        <v>10</v>
      </c>
      <c r="F42">
        <f>LOOKUP(E42,'Angle Percentile'!$E$3:$F$10)</f>
        <v>67</v>
      </c>
      <c r="G42">
        <f t="shared" si="1"/>
        <v>0.17364817766693033</v>
      </c>
      <c r="H42">
        <f t="shared" si="2"/>
        <v>0.17453292519943295</v>
      </c>
      <c r="I42">
        <v>65</v>
      </c>
      <c r="J42">
        <f>LOOKUP(I42,'Speed Percentiles'!$E$15:$F$17)</f>
        <v>20.492000000000019</v>
      </c>
      <c r="K42">
        <f t="shared" si="3"/>
        <v>1587.5679819289405</v>
      </c>
      <c r="L42">
        <f t="shared" si="4"/>
        <v>29.057599999999997</v>
      </c>
      <c r="M42">
        <f t="shared" si="5"/>
        <v>20.209812206502878</v>
      </c>
      <c r="N42" s="2">
        <f t="shared" si="6"/>
        <v>9.6665846009034624</v>
      </c>
      <c r="O42" t="str">
        <f t="shared" si="7"/>
        <v>NO</v>
      </c>
      <c r="P42" t="str">
        <f t="shared" si="8"/>
        <v>OK</v>
      </c>
      <c r="Q42" s="5" t="str">
        <f t="shared" si="9"/>
        <v>OK</v>
      </c>
      <c r="R42" s="5" t="str">
        <f t="shared" si="10"/>
        <v>OK</v>
      </c>
      <c r="S42" s="5" t="str">
        <f t="shared" si="11"/>
        <v>OK</v>
      </c>
      <c r="T42" s="4" t="str">
        <f t="shared" si="12"/>
        <v>OK</v>
      </c>
    </row>
    <row r="43" spans="3:20" x14ac:dyDescent="0.25">
      <c r="C43" s="3">
        <f t="shared" si="0"/>
        <v>0.24082480000000012</v>
      </c>
      <c r="D43">
        <v>3500</v>
      </c>
      <c r="E43">
        <v>10</v>
      </c>
      <c r="F43">
        <f>LOOKUP(E43,'Angle Percentile'!$E$3:$F$10)</f>
        <v>67</v>
      </c>
      <c r="G43">
        <f t="shared" si="1"/>
        <v>0.17364817766693033</v>
      </c>
      <c r="H43">
        <f t="shared" si="2"/>
        <v>0.17453292519943295</v>
      </c>
      <c r="I43">
        <v>55</v>
      </c>
      <c r="J43">
        <f>LOOKUP(I43,'Speed Percentiles'!$E$15:$F$17)</f>
        <v>35.944000000000017</v>
      </c>
      <c r="K43">
        <f t="shared" si="3"/>
        <v>1587.5679819289405</v>
      </c>
      <c r="L43">
        <f t="shared" si="4"/>
        <v>24.587199999999999</v>
      </c>
      <c r="M43">
        <f t="shared" si="5"/>
        <v>14.469747201105614</v>
      </c>
      <c r="N43" s="2">
        <f t="shared" si="6"/>
        <v>7.050631578161652</v>
      </c>
      <c r="O43" t="str">
        <f t="shared" si="7"/>
        <v>NO</v>
      </c>
      <c r="P43" t="str">
        <f t="shared" si="8"/>
        <v>OK</v>
      </c>
      <c r="Q43" s="5" t="str">
        <f t="shared" si="9"/>
        <v>OK</v>
      </c>
      <c r="R43" s="5" t="str">
        <f t="shared" si="10"/>
        <v>OK</v>
      </c>
      <c r="S43" s="5" t="str">
        <f t="shared" si="11"/>
        <v>OK</v>
      </c>
      <c r="T43" s="4" t="str">
        <f t="shared" si="12"/>
        <v>OK</v>
      </c>
    </row>
    <row r="44" spans="3:20" x14ac:dyDescent="0.25">
      <c r="C44" s="3">
        <f t="shared" si="0"/>
        <v>0.34435320000000014</v>
      </c>
      <c r="D44">
        <v>3500</v>
      </c>
      <c r="E44">
        <v>10</v>
      </c>
      <c r="F44">
        <f>LOOKUP(E44,'Angle Percentile'!$E$3:$F$10)</f>
        <v>67</v>
      </c>
      <c r="G44">
        <f t="shared" si="1"/>
        <v>0.17364817766693033</v>
      </c>
      <c r="H44">
        <f t="shared" si="2"/>
        <v>0.17453292519943295</v>
      </c>
      <c r="I44">
        <v>45</v>
      </c>
      <c r="J44">
        <f>LOOKUP(I44,'Speed Percentiles'!$E$15:$F$17)</f>
        <v>51.396000000000015</v>
      </c>
      <c r="K44">
        <f t="shared" si="3"/>
        <v>1587.5679819289405</v>
      </c>
      <c r="L44">
        <f t="shared" si="4"/>
        <v>20.116800000000001</v>
      </c>
      <c r="M44">
        <f t="shared" si="5"/>
        <v>9.6863596966078909</v>
      </c>
      <c r="N44" s="2">
        <f t="shared" si="6"/>
        <v>4.7206707258768086</v>
      </c>
      <c r="O44" t="str">
        <f t="shared" si="7"/>
        <v>OK</v>
      </c>
      <c r="P44" t="str">
        <f t="shared" si="8"/>
        <v>OK</v>
      </c>
      <c r="Q44" s="5" t="str">
        <f t="shared" si="9"/>
        <v>OK</v>
      </c>
      <c r="R44" s="5" t="str">
        <f t="shared" si="10"/>
        <v>OK</v>
      </c>
      <c r="S44" s="5" t="str">
        <f t="shared" si="11"/>
        <v>OK</v>
      </c>
      <c r="T44" s="4" t="str">
        <f t="shared" si="12"/>
        <v>OK</v>
      </c>
    </row>
    <row r="45" spans="3:20" x14ac:dyDescent="0.25">
      <c r="C45" s="3">
        <f t="shared" si="0"/>
        <v>0.18442800000000015</v>
      </c>
      <c r="D45">
        <v>3500</v>
      </c>
      <c r="E45">
        <v>5</v>
      </c>
      <c r="F45">
        <f>LOOKUP(E45,'Angle Percentile'!$E$3:$F$10)</f>
        <v>90</v>
      </c>
      <c r="G45">
        <f t="shared" si="1"/>
        <v>8.7155742747658166E-2</v>
      </c>
      <c r="H45">
        <f t="shared" si="2"/>
        <v>8.7266462599716474E-2</v>
      </c>
      <c r="I45">
        <v>65</v>
      </c>
      <c r="J45">
        <f>LOOKUP(I45,'Speed Percentiles'!$E$15:$F$17)</f>
        <v>20.492000000000019</v>
      </c>
      <c r="K45">
        <f t="shared" si="3"/>
        <v>1587.5679819289405</v>
      </c>
      <c r="L45">
        <f t="shared" si="4"/>
        <v>29.057599999999997</v>
      </c>
      <c r="M45">
        <f t="shared" si="5"/>
        <v>5.0911258724760167</v>
      </c>
      <c r="N45" s="2">
        <f t="shared" si="6"/>
        <v>2.4862919432178163</v>
      </c>
      <c r="O45" t="str">
        <f t="shared" si="7"/>
        <v>OK</v>
      </c>
      <c r="P45" t="str">
        <f t="shared" si="8"/>
        <v>OK</v>
      </c>
      <c r="Q45" s="5" t="str">
        <f t="shared" si="9"/>
        <v>OK</v>
      </c>
      <c r="R45" s="5" t="str">
        <f t="shared" si="10"/>
        <v>OK</v>
      </c>
      <c r="S45" s="5" t="str">
        <f t="shared" si="11"/>
        <v>OK</v>
      </c>
      <c r="T45" s="4" t="str">
        <f t="shared" si="12"/>
        <v>OK</v>
      </c>
    </row>
    <row r="46" spans="3:20" x14ac:dyDescent="0.25">
      <c r="C46" s="3">
        <f t="shared" si="0"/>
        <v>0.32349600000000017</v>
      </c>
      <c r="D46">
        <v>3500</v>
      </c>
      <c r="E46">
        <v>5</v>
      </c>
      <c r="F46">
        <f>LOOKUP(E46,'Angle Percentile'!$E$3:$F$10)</f>
        <v>90</v>
      </c>
      <c r="G46">
        <f t="shared" si="1"/>
        <v>8.7155742747658166E-2</v>
      </c>
      <c r="H46">
        <f t="shared" si="2"/>
        <v>8.7266462599716474E-2</v>
      </c>
      <c r="I46">
        <v>55</v>
      </c>
      <c r="J46">
        <f>LOOKUP(I46,'Speed Percentiles'!$E$15:$F$17)</f>
        <v>35.944000000000017</v>
      </c>
      <c r="K46">
        <f t="shared" si="3"/>
        <v>1587.5679819289405</v>
      </c>
      <c r="L46">
        <f t="shared" si="4"/>
        <v>24.587199999999999</v>
      </c>
      <c r="M46">
        <f t="shared" si="5"/>
        <v>3.6451256246721773</v>
      </c>
      <c r="N46" s="2">
        <f t="shared" si="6"/>
        <v>1.7517238173334659</v>
      </c>
      <c r="O46" t="str">
        <f t="shared" si="7"/>
        <v>OK</v>
      </c>
      <c r="P46" t="str">
        <f t="shared" si="8"/>
        <v>OK</v>
      </c>
      <c r="Q46" s="5" t="str">
        <f t="shared" si="9"/>
        <v>OK</v>
      </c>
      <c r="R46" s="5" t="str">
        <f t="shared" si="10"/>
        <v>OK</v>
      </c>
      <c r="S46" s="5" t="str">
        <f t="shared" si="11"/>
        <v>OK</v>
      </c>
      <c r="T46" s="4" t="str">
        <f t="shared" si="12"/>
        <v>OK</v>
      </c>
    </row>
    <row r="47" spans="3:20" x14ac:dyDescent="0.25">
      <c r="C47" s="3">
        <f t="shared" ref="C47:C78" si="13">F47/100*J47/100</f>
        <v>0.46256400000000014</v>
      </c>
      <c r="D47">
        <v>3500</v>
      </c>
      <c r="E47">
        <v>5</v>
      </c>
      <c r="F47">
        <f>LOOKUP(E47,'Angle Percentile'!$E$3:$F$10)</f>
        <v>90</v>
      </c>
      <c r="G47">
        <f t="shared" ref="G47:G78" si="14">SIN(H47)</f>
        <v>8.7155742747658166E-2</v>
      </c>
      <c r="H47">
        <f t="shared" ref="H47:H78" si="15">E47*PI()/180</f>
        <v>8.7266462599716474E-2</v>
      </c>
      <c r="I47">
        <v>45</v>
      </c>
      <c r="J47">
        <f>LOOKUP(I47,'Speed Percentiles'!$E$15:$F$17)</f>
        <v>51.396000000000015</v>
      </c>
      <c r="K47">
        <f t="shared" ref="K47:K78" si="16">D47/2.20463</f>
        <v>1587.5679819289405</v>
      </c>
      <c r="L47">
        <f t="shared" ref="L47:L78" si="17">(I47/3600)*(5280*0.3048)</f>
        <v>20.116800000000001</v>
      </c>
      <c r="M47">
        <f t="shared" ref="M47:M78" si="18">(0.5*(K47)*((SIN(H47))*L47)^2)/1000</f>
        <v>2.4401254181689787</v>
      </c>
      <c r="N47" s="2">
        <f t="shared" ref="N47:N78" si="19">IF(M47&lt;150,ROUNDUP(-0.0013*(M47^2),1)+(0.508*M47),9999)</f>
        <v>1.1395837124298411</v>
      </c>
      <c r="O47" t="str">
        <f t="shared" ref="O47:O78" si="20">IF($N47+6&lt;11, "OK","NO")</f>
        <v>OK</v>
      </c>
      <c r="P47" t="str">
        <f t="shared" ref="P47:P78" si="21">IF($N47+6&lt;17, "OK","NO")</f>
        <v>OK</v>
      </c>
      <c r="Q47" s="5" t="str">
        <f t="shared" ref="Q47:Q78" si="22">IF($N47+6&lt;23, "OK","NO")</f>
        <v>OK</v>
      </c>
      <c r="R47" s="5" t="str">
        <f t="shared" ref="R47:R78" si="23">IF($N47+6&lt;29, "OK","NO")</f>
        <v>OK</v>
      </c>
      <c r="S47" s="5" t="str">
        <f t="shared" ref="S47:S78" si="24">IF($N47+6&lt;35, "OK","NO")</f>
        <v>OK</v>
      </c>
      <c r="T47" s="4" t="str">
        <f t="shared" ref="T47:T78" si="25">IF($N47+6&lt;41, "OK","NO")</f>
        <v>OK</v>
      </c>
    </row>
    <row r="48" spans="3:20" x14ac:dyDescent="0.25">
      <c r="C48" s="3">
        <f t="shared" si="13"/>
        <v>0.20082160000000018</v>
      </c>
      <c r="D48">
        <v>3500</v>
      </c>
      <c r="E48">
        <v>3</v>
      </c>
      <c r="F48">
        <f>LOOKUP(E48,'Angle Percentile'!$E$3:$F$10)</f>
        <v>98</v>
      </c>
      <c r="G48">
        <f t="shared" si="14"/>
        <v>5.2335956242943828E-2</v>
      </c>
      <c r="H48">
        <f t="shared" si="15"/>
        <v>5.2359877559829883E-2</v>
      </c>
      <c r="I48">
        <v>65</v>
      </c>
      <c r="J48">
        <f>LOOKUP(I48,'Speed Percentiles'!$E$15:$F$17)</f>
        <v>20.492000000000019</v>
      </c>
      <c r="K48">
        <f t="shared" si="16"/>
        <v>1587.5679819289405</v>
      </c>
      <c r="L48">
        <f t="shared" si="17"/>
        <v>29.057599999999997</v>
      </c>
      <c r="M48">
        <f t="shared" si="18"/>
        <v>1.8357863879599707</v>
      </c>
      <c r="N48" s="2">
        <f t="shared" si="19"/>
        <v>0.83257948508366519</v>
      </c>
      <c r="O48" t="str">
        <f t="shared" si="20"/>
        <v>OK</v>
      </c>
      <c r="P48" t="str">
        <f t="shared" si="21"/>
        <v>OK</v>
      </c>
      <c r="Q48" s="5" t="str">
        <f t="shared" si="22"/>
        <v>OK</v>
      </c>
      <c r="R48" s="5" t="str">
        <f t="shared" si="23"/>
        <v>OK</v>
      </c>
      <c r="S48" s="5" t="str">
        <f t="shared" si="24"/>
        <v>OK</v>
      </c>
      <c r="T48" s="4" t="str">
        <f t="shared" si="25"/>
        <v>OK</v>
      </c>
    </row>
    <row r="49" spans="3:20" x14ac:dyDescent="0.25">
      <c r="C49" s="3">
        <f t="shared" si="13"/>
        <v>0.35225120000000021</v>
      </c>
      <c r="D49">
        <v>3500</v>
      </c>
      <c r="E49">
        <v>3</v>
      </c>
      <c r="F49">
        <f>LOOKUP(E49,'Angle Percentile'!$E$3:$F$10)</f>
        <v>98</v>
      </c>
      <c r="G49">
        <f t="shared" si="14"/>
        <v>5.2335956242943828E-2</v>
      </c>
      <c r="H49">
        <f t="shared" si="15"/>
        <v>5.2359877559829883E-2</v>
      </c>
      <c r="I49">
        <v>55</v>
      </c>
      <c r="J49">
        <f>LOOKUP(I49,'Speed Percentiles'!$E$15:$F$17)</f>
        <v>35.944000000000017</v>
      </c>
      <c r="K49">
        <f t="shared" si="16"/>
        <v>1587.5679819289405</v>
      </c>
      <c r="L49">
        <f t="shared" si="17"/>
        <v>24.587199999999999</v>
      </c>
      <c r="M49">
        <f t="shared" si="18"/>
        <v>1.3143796032139434</v>
      </c>
      <c r="N49" s="2">
        <f t="shared" si="19"/>
        <v>0.56770483843268327</v>
      </c>
      <c r="O49" t="str">
        <f t="shared" si="20"/>
        <v>OK</v>
      </c>
      <c r="P49" t="str">
        <f t="shared" si="21"/>
        <v>OK</v>
      </c>
      <c r="Q49" s="5" t="str">
        <f t="shared" si="22"/>
        <v>OK</v>
      </c>
      <c r="R49" s="5" t="str">
        <f t="shared" si="23"/>
        <v>OK</v>
      </c>
      <c r="S49" s="5" t="str">
        <f t="shared" si="24"/>
        <v>OK</v>
      </c>
      <c r="T49" s="4" t="str">
        <f t="shared" si="25"/>
        <v>OK</v>
      </c>
    </row>
    <row r="50" spans="3:20" x14ac:dyDescent="0.25">
      <c r="C50" s="3">
        <f t="shared" si="13"/>
        <v>0.50368080000000015</v>
      </c>
      <c r="D50">
        <v>3500</v>
      </c>
      <c r="E50">
        <v>3</v>
      </c>
      <c r="F50">
        <f>LOOKUP(E50,'Angle Percentile'!$E$3:$F$10)</f>
        <v>98</v>
      </c>
      <c r="G50">
        <f t="shared" si="14"/>
        <v>5.2335956242943828E-2</v>
      </c>
      <c r="H50">
        <f t="shared" si="15"/>
        <v>5.2359877559829883E-2</v>
      </c>
      <c r="I50">
        <v>45</v>
      </c>
      <c r="J50">
        <f>LOOKUP(I50,'Speed Percentiles'!$E$15:$F$17)</f>
        <v>51.396000000000015</v>
      </c>
      <c r="K50">
        <f t="shared" si="16"/>
        <v>1587.5679819289405</v>
      </c>
      <c r="L50">
        <f t="shared" si="17"/>
        <v>20.116800000000001</v>
      </c>
      <c r="M50">
        <f t="shared" si="18"/>
        <v>0.87987394925892104</v>
      </c>
      <c r="N50" s="2">
        <f t="shared" si="19"/>
        <v>0.34697596622353188</v>
      </c>
      <c r="O50" t="str">
        <f t="shared" si="20"/>
        <v>OK</v>
      </c>
      <c r="P50" t="str">
        <f t="shared" si="21"/>
        <v>OK</v>
      </c>
      <c r="Q50" s="5" t="str">
        <f t="shared" si="22"/>
        <v>OK</v>
      </c>
      <c r="R50" s="5" t="str">
        <f t="shared" si="23"/>
        <v>OK</v>
      </c>
      <c r="S50" s="5" t="str">
        <f t="shared" si="24"/>
        <v>OK</v>
      </c>
      <c r="T50" s="4" t="str">
        <f t="shared" si="25"/>
        <v>OK</v>
      </c>
    </row>
    <row r="51" spans="3:20" x14ac:dyDescent="0.25">
      <c r="C51" s="3">
        <f t="shared" si="13"/>
        <v>3.0738000000000026E-2</v>
      </c>
      <c r="D51" s="37">
        <v>4400</v>
      </c>
      <c r="E51">
        <v>25</v>
      </c>
      <c r="F51">
        <f>LOOKUP(E51,'Angle Percentile'!$E$3:$F$10)</f>
        <v>15</v>
      </c>
      <c r="G51">
        <f t="shared" si="14"/>
        <v>0.42261826174069944</v>
      </c>
      <c r="H51">
        <f t="shared" si="15"/>
        <v>0.43633231299858238</v>
      </c>
      <c r="I51">
        <v>65</v>
      </c>
      <c r="J51">
        <f>LOOKUP(I51,'Speed Percentiles'!$E$15:$F$17)</f>
        <v>20.492000000000019</v>
      </c>
      <c r="K51">
        <f t="shared" si="16"/>
        <v>1995.7997487106682</v>
      </c>
      <c r="L51">
        <f t="shared" si="17"/>
        <v>29.057599999999997</v>
      </c>
      <c r="M51">
        <f t="shared" si="18"/>
        <v>150.48838063864486</v>
      </c>
      <c r="N51" s="2">
        <f t="shared" si="19"/>
        <v>9999</v>
      </c>
      <c r="O51" t="str">
        <f t="shared" si="20"/>
        <v>NO</v>
      </c>
      <c r="P51" t="str">
        <f t="shared" si="21"/>
        <v>NO</v>
      </c>
      <c r="Q51" s="5" t="str">
        <f t="shared" si="22"/>
        <v>NO</v>
      </c>
      <c r="R51" s="5" t="str">
        <f t="shared" si="23"/>
        <v>NO</v>
      </c>
      <c r="S51" s="5" t="str">
        <f t="shared" si="24"/>
        <v>NO</v>
      </c>
      <c r="T51" s="4" t="str">
        <f t="shared" si="25"/>
        <v>NO</v>
      </c>
    </row>
    <row r="52" spans="3:20" x14ac:dyDescent="0.25">
      <c r="C52" s="3">
        <f t="shared" si="13"/>
        <v>5.3916000000000019E-2</v>
      </c>
      <c r="D52" s="37">
        <v>4400</v>
      </c>
      <c r="E52">
        <v>25</v>
      </c>
      <c r="F52">
        <f>LOOKUP(E52,'Angle Percentile'!$E$3:$F$10)</f>
        <v>15</v>
      </c>
      <c r="G52">
        <f t="shared" si="14"/>
        <v>0.42261826174069944</v>
      </c>
      <c r="H52">
        <f t="shared" si="15"/>
        <v>0.43633231299858238</v>
      </c>
      <c r="I52">
        <v>55</v>
      </c>
      <c r="J52">
        <f>LOOKUP(I52,'Speed Percentiles'!$E$15:$F$17)</f>
        <v>35.944000000000017</v>
      </c>
      <c r="K52">
        <f t="shared" si="16"/>
        <v>1995.7997487106682</v>
      </c>
      <c r="L52">
        <f t="shared" si="17"/>
        <v>24.587199999999999</v>
      </c>
      <c r="M52">
        <f t="shared" si="18"/>
        <v>107.74611868210671</v>
      </c>
      <c r="N52" s="2">
        <f t="shared" si="19"/>
        <v>39.635028290510206</v>
      </c>
      <c r="O52" t="str">
        <f t="shared" si="20"/>
        <v>NO</v>
      </c>
      <c r="P52" t="str">
        <f t="shared" si="21"/>
        <v>NO</v>
      </c>
      <c r="Q52" s="5" t="str">
        <f t="shared" si="22"/>
        <v>NO</v>
      </c>
      <c r="R52" s="5" t="str">
        <f t="shared" si="23"/>
        <v>NO</v>
      </c>
      <c r="S52" s="5" t="str">
        <f t="shared" si="24"/>
        <v>NO</v>
      </c>
      <c r="T52" s="4" t="str">
        <f t="shared" si="25"/>
        <v>NO</v>
      </c>
    </row>
    <row r="53" spans="3:20" x14ac:dyDescent="0.25">
      <c r="C53" s="3">
        <f t="shared" si="13"/>
        <v>5.3279200000000054E-2</v>
      </c>
      <c r="D53" s="37">
        <v>4400</v>
      </c>
      <c r="E53">
        <v>20</v>
      </c>
      <c r="F53">
        <f>LOOKUP(E53,'Angle Percentile'!$E$3:$F$10)</f>
        <v>26</v>
      </c>
      <c r="G53">
        <f t="shared" si="14"/>
        <v>0.34202014332566871</v>
      </c>
      <c r="H53">
        <f t="shared" si="15"/>
        <v>0.3490658503988659</v>
      </c>
      <c r="I53">
        <v>65</v>
      </c>
      <c r="J53">
        <f>LOOKUP(I53,'Speed Percentiles'!$E$15:$F$17)</f>
        <v>20.492000000000019</v>
      </c>
      <c r="K53">
        <f t="shared" si="16"/>
        <v>1995.7997487106682</v>
      </c>
      <c r="L53">
        <f t="shared" si="17"/>
        <v>29.057599999999997</v>
      </c>
      <c r="M53">
        <f t="shared" si="18"/>
        <v>98.562070776833991</v>
      </c>
      <c r="N53" s="2">
        <f t="shared" si="19"/>
        <v>37.369531954631668</v>
      </c>
      <c r="O53" t="str">
        <f t="shared" si="20"/>
        <v>NO</v>
      </c>
      <c r="P53" t="str">
        <f t="shared" si="21"/>
        <v>NO</v>
      </c>
      <c r="Q53" s="5" t="str">
        <f t="shared" si="22"/>
        <v>NO</v>
      </c>
      <c r="R53" s="5" t="str">
        <f t="shared" si="23"/>
        <v>NO</v>
      </c>
      <c r="S53" s="5" t="str">
        <f t="shared" si="24"/>
        <v>NO</v>
      </c>
      <c r="T53" s="4" t="str">
        <f t="shared" si="25"/>
        <v>NO</v>
      </c>
    </row>
    <row r="54" spans="3:20" x14ac:dyDescent="0.25">
      <c r="C54" s="3">
        <f t="shared" si="13"/>
        <v>7.7094000000000024E-2</v>
      </c>
      <c r="D54" s="37">
        <v>4400</v>
      </c>
      <c r="E54">
        <v>25</v>
      </c>
      <c r="F54">
        <f>LOOKUP(E54,'Angle Percentile'!$E$3:$F$10)</f>
        <v>15</v>
      </c>
      <c r="G54">
        <f t="shared" si="14"/>
        <v>0.42261826174069944</v>
      </c>
      <c r="H54">
        <f t="shared" si="15"/>
        <v>0.43633231299858238</v>
      </c>
      <c r="I54">
        <v>45</v>
      </c>
      <c r="J54">
        <f>LOOKUP(I54,'Speed Percentiles'!$E$15:$F$17)</f>
        <v>51.396000000000015</v>
      </c>
      <c r="K54">
        <f t="shared" si="16"/>
        <v>1995.7997487106682</v>
      </c>
      <c r="L54">
        <f t="shared" si="17"/>
        <v>20.116800000000001</v>
      </c>
      <c r="M54">
        <f t="shared" si="18"/>
        <v>72.127567051658218</v>
      </c>
      <c r="N54" s="2">
        <f t="shared" si="19"/>
        <v>29.840804062242373</v>
      </c>
      <c r="O54" t="str">
        <f t="shared" si="20"/>
        <v>NO</v>
      </c>
      <c r="P54" t="str">
        <f t="shared" si="21"/>
        <v>NO</v>
      </c>
      <c r="Q54" s="5" t="str">
        <f t="shared" si="22"/>
        <v>NO</v>
      </c>
      <c r="R54" s="5" t="str">
        <f t="shared" si="23"/>
        <v>NO</v>
      </c>
      <c r="S54" s="5" t="str">
        <f t="shared" si="24"/>
        <v>NO</v>
      </c>
      <c r="T54" s="4" t="str">
        <f t="shared" si="25"/>
        <v>OK</v>
      </c>
    </row>
    <row r="55" spans="3:20" x14ac:dyDescent="0.25">
      <c r="C55" s="3">
        <f t="shared" si="13"/>
        <v>9.3454400000000049E-2</v>
      </c>
      <c r="D55" s="37">
        <v>4400</v>
      </c>
      <c r="E55">
        <v>20</v>
      </c>
      <c r="F55">
        <f>LOOKUP(E55,'Angle Percentile'!$E$3:$F$10)</f>
        <v>26</v>
      </c>
      <c r="G55">
        <f t="shared" si="14"/>
        <v>0.34202014332566871</v>
      </c>
      <c r="H55">
        <f t="shared" si="15"/>
        <v>0.3490658503988659</v>
      </c>
      <c r="I55">
        <v>55</v>
      </c>
      <c r="J55">
        <f>LOOKUP(I55,'Speed Percentiles'!$E$15:$F$17)</f>
        <v>35.944000000000017</v>
      </c>
      <c r="K55">
        <f t="shared" si="16"/>
        <v>1995.7997487106682</v>
      </c>
      <c r="L55">
        <f t="shared" si="17"/>
        <v>24.587199999999999</v>
      </c>
      <c r="M55">
        <f t="shared" si="18"/>
        <v>70.568109846135613</v>
      </c>
      <c r="N55" s="2">
        <f t="shared" si="19"/>
        <v>29.34859980183689</v>
      </c>
      <c r="O55" t="str">
        <f t="shared" si="20"/>
        <v>NO</v>
      </c>
      <c r="P55" t="str">
        <f t="shared" si="21"/>
        <v>NO</v>
      </c>
      <c r="Q55" s="5" t="str">
        <f t="shared" si="22"/>
        <v>NO</v>
      </c>
      <c r="R55" s="5" t="str">
        <f t="shared" si="23"/>
        <v>NO</v>
      </c>
      <c r="S55" s="5" t="str">
        <f t="shared" si="24"/>
        <v>NO</v>
      </c>
      <c r="T55" s="4" t="str">
        <f t="shared" si="25"/>
        <v>OK</v>
      </c>
    </row>
    <row r="56" spans="3:20" x14ac:dyDescent="0.25">
      <c r="C56" s="3">
        <f t="shared" si="13"/>
        <v>9.0164800000000087E-2</v>
      </c>
      <c r="D56" s="37">
        <v>4400</v>
      </c>
      <c r="E56">
        <v>15</v>
      </c>
      <c r="F56">
        <f>LOOKUP(E56,'Angle Percentile'!$E$3:$F$10)</f>
        <v>44</v>
      </c>
      <c r="G56">
        <f t="shared" si="14"/>
        <v>0.25881904510252074</v>
      </c>
      <c r="H56">
        <f t="shared" si="15"/>
        <v>0.26179938779914941</v>
      </c>
      <c r="I56">
        <v>65</v>
      </c>
      <c r="J56">
        <f>LOOKUP(I56,'Speed Percentiles'!$E$15:$F$17)</f>
        <v>20.492000000000019</v>
      </c>
      <c r="K56">
        <f t="shared" si="16"/>
        <v>1995.7997487106682</v>
      </c>
      <c r="L56">
        <f t="shared" si="17"/>
        <v>29.057599999999997</v>
      </c>
      <c r="M56">
        <f t="shared" si="18"/>
        <v>56.441547320080204</v>
      </c>
      <c r="N56" s="2">
        <f t="shared" si="19"/>
        <v>24.472306038600745</v>
      </c>
      <c r="O56" t="str">
        <f t="shared" si="20"/>
        <v>NO</v>
      </c>
      <c r="P56" t="str">
        <f t="shared" si="21"/>
        <v>NO</v>
      </c>
      <c r="Q56" s="5" t="str">
        <f t="shared" si="22"/>
        <v>NO</v>
      </c>
      <c r="R56" s="5" t="str">
        <f t="shared" si="23"/>
        <v>NO</v>
      </c>
      <c r="S56" s="5" t="str">
        <f t="shared" si="24"/>
        <v>OK</v>
      </c>
      <c r="T56" s="4" t="str">
        <f t="shared" si="25"/>
        <v>OK</v>
      </c>
    </row>
    <row r="57" spans="3:20" x14ac:dyDescent="0.25">
      <c r="C57" s="3">
        <f t="shared" si="13"/>
        <v>0.13362960000000004</v>
      </c>
      <c r="D57" s="37">
        <v>4400</v>
      </c>
      <c r="E57">
        <v>20</v>
      </c>
      <c r="F57">
        <f>LOOKUP(E57,'Angle Percentile'!$E$3:$F$10)</f>
        <v>26</v>
      </c>
      <c r="G57">
        <f t="shared" si="14"/>
        <v>0.34202014332566871</v>
      </c>
      <c r="H57">
        <f t="shared" si="15"/>
        <v>0.3490658503988659</v>
      </c>
      <c r="I57">
        <v>45</v>
      </c>
      <c r="J57">
        <f>LOOKUP(I57,'Speed Percentiles'!$E$15:$F$17)</f>
        <v>51.396000000000015</v>
      </c>
      <c r="K57">
        <f t="shared" si="16"/>
        <v>1995.7997487106682</v>
      </c>
      <c r="L57">
        <f t="shared" si="17"/>
        <v>20.116800000000001</v>
      </c>
      <c r="M57">
        <f t="shared" si="18"/>
        <v>47.239809070553591</v>
      </c>
      <c r="N57" s="2">
        <f t="shared" si="19"/>
        <v>20.997823007841223</v>
      </c>
      <c r="O57" t="str">
        <f t="shared" si="20"/>
        <v>NO</v>
      </c>
      <c r="P57" t="str">
        <f t="shared" si="21"/>
        <v>NO</v>
      </c>
      <c r="Q57" s="5" t="str">
        <f t="shared" si="22"/>
        <v>NO</v>
      </c>
      <c r="R57" s="5" t="str">
        <f t="shared" si="23"/>
        <v>OK</v>
      </c>
      <c r="S57" s="5" t="str">
        <f t="shared" si="24"/>
        <v>OK</v>
      </c>
      <c r="T57" s="4" t="str">
        <f t="shared" si="25"/>
        <v>OK</v>
      </c>
    </row>
    <row r="58" spans="3:20" x14ac:dyDescent="0.25">
      <c r="C58" s="3">
        <f t="shared" si="13"/>
        <v>0.15815360000000006</v>
      </c>
      <c r="D58" s="37">
        <v>4400</v>
      </c>
      <c r="E58">
        <v>15</v>
      </c>
      <c r="F58">
        <f>LOOKUP(E58,'Angle Percentile'!$E$3:$F$10)</f>
        <v>44</v>
      </c>
      <c r="G58">
        <f t="shared" si="14"/>
        <v>0.25881904510252074</v>
      </c>
      <c r="H58">
        <f t="shared" si="15"/>
        <v>0.26179938779914941</v>
      </c>
      <c r="I58">
        <v>55</v>
      </c>
      <c r="J58">
        <f>LOOKUP(I58,'Speed Percentiles'!$E$15:$F$17)</f>
        <v>35.944000000000017</v>
      </c>
      <c r="K58">
        <f t="shared" si="16"/>
        <v>1995.7997487106682</v>
      </c>
      <c r="L58">
        <f t="shared" si="17"/>
        <v>24.587199999999999</v>
      </c>
      <c r="M58">
        <f t="shared" si="18"/>
        <v>40.410811986566287</v>
      </c>
      <c r="N58" s="2">
        <f t="shared" si="19"/>
        <v>18.328692489175676</v>
      </c>
      <c r="O58" t="str">
        <f t="shared" si="20"/>
        <v>NO</v>
      </c>
      <c r="P58" t="str">
        <f t="shared" si="21"/>
        <v>NO</v>
      </c>
      <c r="Q58" s="5" t="str">
        <f t="shared" si="22"/>
        <v>NO</v>
      </c>
      <c r="R58" s="5" t="str">
        <f t="shared" si="23"/>
        <v>OK</v>
      </c>
      <c r="S58" s="5" t="str">
        <f t="shared" si="24"/>
        <v>OK</v>
      </c>
      <c r="T58" s="4" t="str">
        <f t="shared" si="25"/>
        <v>OK</v>
      </c>
    </row>
    <row r="59" spans="3:20" x14ac:dyDescent="0.25">
      <c r="C59" s="3">
        <f t="shared" si="13"/>
        <v>0.22614240000000005</v>
      </c>
      <c r="D59" s="37">
        <v>4400</v>
      </c>
      <c r="E59">
        <v>15</v>
      </c>
      <c r="F59">
        <f>LOOKUP(E59,'Angle Percentile'!$E$3:$F$10)</f>
        <v>44</v>
      </c>
      <c r="G59">
        <f t="shared" si="14"/>
        <v>0.25881904510252074</v>
      </c>
      <c r="H59">
        <f t="shared" si="15"/>
        <v>0.26179938779914941</v>
      </c>
      <c r="I59">
        <v>45</v>
      </c>
      <c r="J59">
        <f>LOOKUP(I59,'Speed Percentiles'!$E$15:$F$17)</f>
        <v>51.396000000000015</v>
      </c>
      <c r="K59">
        <f t="shared" si="16"/>
        <v>1995.7997487106682</v>
      </c>
      <c r="L59">
        <f t="shared" si="17"/>
        <v>20.116800000000001</v>
      </c>
      <c r="M59">
        <f t="shared" si="18"/>
        <v>27.051865875304713</v>
      </c>
      <c r="N59" s="2">
        <f t="shared" si="19"/>
        <v>12.742347864654795</v>
      </c>
      <c r="O59" t="str">
        <f t="shared" si="20"/>
        <v>NO</v>
      </c>
      <c r="P59" t="str">
        <f t="shared" si="21"/>
        <v>NO</v>
      </c>
      <c r="Q59" s="5" t="str">
        <f t="shared" si="22"/>
        <v>OK</v>
      </c>
      <c r="R59" s="5" t="str">
        <f t="shared" si="23"/>
        <v>OK</v>
      </c>
      <c r="S59" s="5" t="str">
        <f t="shared" si="24"/>
        <v>OK</v>
      </c>
      <c r="T59" s="4" t="str">
        <f t="shared" si="25"/>
        <v>OK</v>
      </c>
    </row>
    <row r="60" spans="3:20" x14ac:dyDescent="0.25">
      <c r="C60" s="3">
        <f t="shared" si="13"/>
        <v>0.13729640000000015</v>
      </c>
      <c r="D60" s="37">
        <v>4400</v>
      </c>
      <c r="E60">
        <v>10</v>
      </c>
      <c r="F60">
        <f>LOOKUP(E60,'Angle Percentile'!$E$3:$F$10)</f>
        <v>67</v>
      </c>
      <c r="G60">
        <f t="shared" si="14"/>
        <v>0.17364817766693033</v>
      </c>
      <c r="H60">
        <f t="shared" si="15"/>
        <v>0.17453292519943295</v>
      </c>
      <c r="I60">
        <v>65</v>
      </c>
      <c r="J60">
        <f>LOOKUP(I60,'Speed Percentiles'!$E$15:$F$17)</f>
        <v>20.492000000000019</v>
      </c>
      <c r="K60">
        <f t="shared" si="16"/>
        <v>1995.7997487106682</v>
      </c>
      <c r="L60">
        <f t="shared" si="17"/>
        <v>29.057599999999997</v>
      </c>
      <c r="M60">
        <f t="shared" si="18"/>
        <v>25.406621059603619</v>
      </c>
      <c r="N60" s="2">
        <f t="shared" si="19"/>
        <v>12.006563498278638</v>
      </c>
      <c r="O60" t="str">
        <f t="shared" si="20"/>
        <v>NO</v>
      </c>
      <c r="P60" t="str">
        <f t="shared" si="21"/>
        <v>NO</v>
      </c>
      <c r="Q60" s="5" t="str">
        <f t="shared" si="22"/>
        <v>OK</v>
      </c>
      <c r="R60" s="5" t="str">
        <f t="shared" si="23"/>
        <v>OK</v>
      </c>
      <c r="S60" s="5" t="str">
        <f t="shared" si="24"/>
        <v>OK</v>
      </c>
      <c r="T60" s="4" t="str">
        <f t="shared" si="25"/>
        <v>OK</v>
      </c>
    </row>
    <row r="61" spans="3:20" x14ac:dyDescent="0.25">
      <c r="C61" s="3">
        <f t="shared" si="13"/>
        <v>0.24082480000000012</v>
      </c>
      <c r="D61" s="37">
        <v>4400</v>
      </c>
      <c r="E61">
        <v>10</v>
      </c>
      <c r="F61">
        <f>LOOKUP(E61,'Angle Percentile'!$E$3:$F$10)</f>
        <v>67</v>
      </c>
      <c r="G61">
        <f t="shared" si="14"/>
        <v>0.17364817766693033</v>
      </c>
      <c r="H61">
        <f t="shared" si="15"/>
        <v>0.17453292519943295</v>
      </c>
      <c r="I61">
        <v>55</v>
      </c>
      <c r="J61">
        <f>LOOKUP(I61,'Speed Percentiles'!$E$15:$F$17)</f>
        <v>35.944000000000017</v>
      </c>
      <c r="K61">
        <f t="shared" si="16"/>
        <v>1995.7997487106682</v>
      </c>
      <c r="L61">
        <f t="shared" si="17"/>
        <v>24.587199999999999</v>
      </c>
      <c r="M61">
        <f t="shared" si="18"/>
        <v>18.190539338532773</v>
      </c>
      <c r="N61" s="2">
        <f t="shared" si="19"/>
        <v>8.7407939839746494</v>
      </c>
      <c r="O61" t="str">
        <f t="shared" si="20"/>
        <v>NO</v>
      </c>
      <c r="P61" t="str">
        <f t="shared" si="21"/>
        <v>OK</v>
      </c>
      <c r="Q61" s="5" t="str">
        <f t="shared" si="22"/>
        <v>OK</v>
      </c>
      <c r="R61" s="5" t="str">
        <f t="shared" si="23"/>
        <v>OK</v>
      </c>
      <c r="S61" s="5" t="str">
        <f t="shared" si="24"/>
        <v>OK</v>
      </c>
      <c r="T61" s="4" t="str">
        <f t="shared" si="25"/>
        <v>OK</v>
      </c>
    </row>
    <row r="62" spans="3:20" x14ac:dyDescent="0.25">
      <c r="C62" s="3">
        <f t="shared" si="13"/>
        <v>0.34435320000000014</v>
      </c>
      <c r="D62" s="37">
        <v>4400</v>
      </c>
      <c r="E62">
        <v>10</v>
      </c>
      <c r="F62">
        <f>LOOKUP(E62,'Angle Percentile'!$E$3:$F$10)</f>
        <v>67</v>
      </c>
      <c r="G62">
        <f t="shared" si="14"/>
        <v>0.17364817766693033</v>
      </c>
      <c r="H62">
        <f t="shared" si="15"/>
        <v>0.17453292519943295</v>
      </c>
      <c r="I62">
        <v>45</v>
      </c>
      <c r="J62">
        <f>LOOKUP(I62,'Speed Percentiles'!$E$15:$F$17)</f>
        <v>51.396000000000015</v>
      </c>
      <c r="K62">
        <f t="shared" si="16"/>
        <v>1995.7997487106682</v>
      </c>
      <c r="L62">
        <f t="shared" si="17"/>
        <v>20.116800000000001</v>
      </c>
      <c r="M62">
        <f t="shared" si="18"/>
        <v>12.177137904307063</v>
      </c>
      <c r="N62" s="2">
        <f t="shared" si="19"/>
        <v>5.985986055387988</v>
      </c>
      <c r="O62" t="str">
        <f t="shared" si="20"/>
        <v>NO</v>
      </c>
      <c r="P62" t="str">
        <f t="shared" si="21"/>
        <v>OK</v>
      </c>
      <c r="Q62" s="5" t="str">
        <f t="shared" si="22"/>
        <v>OK</v>
      </c>
      <c r="R62" s="5" t="str">
        <f t="shared" si="23"/>
        <v>OK</v>
      </c>
      <c r="S62" s="5" t="str">
        <f t="shared" si="24"/>
        <v>OK</v>
      </c>
      <c r="T62" s="4" t="str">
        <f t="shared" si="25"/>
        <v>OK</v>
      </c>
    </row>
    <row r="63" spans="3:20" x14ac:dyDescent="0.25">
      <c r="C63" s="3">
        <f t="shared" si="13"/>
        <v>0.18442800000000015</v>
      </c>
      <c r="D63" s="37">
        <v>4400</v>
      </c>
      <c r="E63">
        <v>5</v>
      </c>
      <c r="F63">
        <f>LOOKUP(E63,'Angle Percentile'!$E$3:$F$10)</f>
        <v>90</v>
      </c>
      <c r="G63">
        <f t="shared" si="14"/>
        <v>8.7155742747658166E-2</v>
      </c>
      <c r="H63">
        <f t="shared" si="15"/>
        <v>8.7266462599716474E-2</v>
      </c>
      <c r="I63">
        <v>65</v>
      </c>
      <c r="J63">
        <f>LOOKUP(I63,'Speed Percentiles'!$E$15:$F$17)</f>
        <v>20.492000000000019</v>
      </c>
      <c r="K63">
        <f t="shared" si="16"/>
        <v>1995.7997487106682</v>
      </c>
      <c r="L63">
        <f t="shared" si="17"/>
        <v>29.057599999999997</v>
      </c>
      <c r="M63">
        <f t="shared" si="18"/>
        <v>6.4002725253984201</v>
      </c>
      <c r="N63" s="2">
        <f t="shared" si="19"/>
        <v>3.1513384429023974</v>
      </c>
      <c r="O63" t="str">
        <f t="shared" si="20"/>
        <v>OK</v>
      </c>
      <c r="P63" t="str">
        <f t="shared" si="21"/>
        <v>OK</v>
      </c>
      <c r="Q63" s="5" t="str">
        <f t="shared" si="22"/>
        <v>OK</v>
      </c>
      <c r="R63" s="5" t="str">
        <f t="shared" si="23"/>
        <v>OK</v>
      </c>
      <c r="S63" s="5" t="str">
        <f t="shared" si="24"/>
        <v>OK</v>
      </c>
      <c r="T63" s="4" t="str">
        <f t="shared" si="25"/>
        <v>OK</v>
      </c>
    </row>
    <row r="64" spans="3:20" x14ac:dyDescent="0.25">
      <c r="C64" s="3">
        <f t="shared" si="13"/>
        <v>0.32349600000000017</v>
      </c>
      <c r="D64" s="37">
        <v>4400</v>
      </c>
      <c r="E64">
        <v>5</v>
      </c>
      <c r="F64">
        <f>LOOKUP(E64,'Angle Percentile'!$E$3:$F$10)</f>
        <v>90</v>
      </c>
      <c r="G64">
        <f t="shared" si="14"/>
        <v>8.7155742747658166E-2</v>
      </c>
      <c r="H64">
        <f t="shared" si="15"/>
        <v>8.7266462599716474E-2</v>
      </c>
      <c r="I64">
        <v>55</v>
      </c>
      <c r="J64">
        <f>LOOKUP(I64,'Speed Percentiles'!$E$15:$F$17)</f>
        <v>35.944000000000017</v>
      </c>
      <c r="K64">
        <f t="shared" si="16"/>
        <v>1995.7997487106682</v>
      </c>
      <c r="L64">
        <f t="shared" si="17"/>
        <v>24.587199999999999</v>
      </c>
      <c r="M64">
        <f t="shared" si="18"/>
        <v>4.582443642445023</v>
      </c>
      <c r="N64" s="2">
        <f t="shared" si="19"/>
        <v>2.2278813703620717</v>
      </c>
      <c r="O64" t="str">
        <f t="shared" si="20"/>
        <v>OK</v>
      </c>
      <c r="P64" t="str">
        <f t="shared" si="21"/>
        <v>OK</v>
      </c>
      <c r="Q64" s="5" t="str">
        <f t="shared" si="22"/>
        <v>OK</v>
      </c>
      <c r="R64" s="5" t="str">
        <f t="shared" si="23"/>
        <v>OK</v>
      </c>
      <c r="S64" s="5" t="str">
        <f t="shared" si="24"/>
        <v>OK</v>
      </c>
      <c r="T64" s="4" t="str">
        <f t="shared" si="25"/>
        <v>OK</v>
      </c>
    </row>
    <row r="65" spans="3:20" x14ac:dyDescent="0.25">
      <c r="C65" s="3">
        <f t="shared" si="13"/>
        <v>0.46256400000000014</v>
      </c>
      <c r="D65" s="37">
        <v>4400</v>
      </c>
      <c r="E65">
        <v>5</v>
      </c>
      <c r="F65">
        <f>LOOKUP(E65,'Angle Percentile'!$E$3:$F$10)</f>
        <v>90</v>
      </c>
      <c r="G65">
        <f t="shared" si="14"/>
        <v>8.7155742747658166E-2</v>
      </c>
      <c r="H65">
        <f t="shared" si="15"/>
        <v>8.7266462599716474E-2</v>
      </c>
      <c r="I65">
        <v>45</v>
      </c>
      <c r="J65">
        <f>LOOKUP(I65,'Speed Percentiles'!$E$15:$F$17)</f>
        <v>51.396000000000015</v>
      </c>
      <c r="K65">
        <f t="shared" si="16"/>
        <v>1995.7997487106682</v>
      </c>
      <c r="L65">
        <f t="shared" si="17"/>
        <v>20.116800000000001</v>
      </c>
      <c r="M65">
        <f t="shared" si="18"/>
        <v>3.0675862399838594</v>
      </c>
      <c r="N65" s="2">
        <f t="shared" si="19"/>
        <v>1.4583338099118004</v>
      </c>
      <c r="O65" t="str">
        <f t="shared" si="20"/>
        <v>OK</v>
      </c>
      <c r="P65" t="str">
        <f t="shared" si="21"/>
        <v>OK</v>
      </c>
      <c r="Q65" s="5" t="str">
        <f t="shared" si="22"/>
        <v>OK</v>
      </c>
      <c r="R65" s="5" t="str">
        <f t="shared" si="23"/>
        <v>OK</v>
      </c>
      <c r="S65" s="5" t="str">
        <f t="shared" si="24"/>
        <v>OK</v>
      </c>
      <c r="T65" s="4" t="str">
        <f t="shared" si="25"/>
        <v>OK</v>
      </c>
    </row>
    <row r="66" spans="3:20" x14ac:dyDescent="0.25">
      <c r="C66" s="3">
        <f t="shared" si="13"/>
        <v>0.20082160000000018</v>
      </c>
      <c r="D66" s="37">
        <v>4400</v>
      </c>
      <c r="E66">
        <v>3</v>
      </c>
      <c r="F66">
        <f>LOOKUP(E66,'Angle Percentile'!$E$3:$F$10)</f>
        <v>98</v>
      </c>
      <c r="G66">
        <f t="shared" si="14"/>
        <v>5.2335956242943828E-2</v>
      </c>
      <c r="H66">
        <f t="shared" si="15"/>
        <v>5.2359877559829883E-2</v>
      </c>
      <c r="I66">
        <v>65</v>
      </c>
      <c r="J66">
        <f>LOOKUP(I66,'Speed Percentiles'!$E$15:$F$17)</f>
        <v>20.492000000000019</v>
      </c>
      <c r="K66">
        <f t="shared" si="16"/>
        <v>1995.7997487106682</v>
      </c>
      <c r="L66">
        <f t="shared" si="17"/>
        <v>29.057599999999997</v>
      </c>
      <c r="M66">
        <f t="shared" si="18"/>
        <v>2.3078457448639633</v>
      </c>
      <c r="N66" s="2">
        <f t="shared" si="19"/>
        <v>1.0723856383908934</v>
      </c>
      <c r="O66" t="str">
        <f t="shared" si="20"/>
        <v>OK</v>
      </c>
      <c r="P66" t="str">
        <f t="shared" si="21"/>
        <v>OK</v>
      </c>
      <c r="Q66" s="5" t="str">
        <f t="shared" si="22"/>
        <v>OK</v>
      </c>
      <c r="R66" s="5" t="str">
        <f t="shared" si="23"/>
        <v>OK</v>
      </c>
      <c r="S66" s="5" t="str">
        <f t="shared" si="24"/>
        <v>OK</v>
      </c>
      <c r="T66" s="4" t="str">
        <f t="shared" si="25"/>
        <v>OK</v>
      </c>
    </row>
    <row r="67" spans="3:20" x14ac:dyDescent="0.25">
      <c r="C67" s="3">
        <f t="shared" si="13"/>
        <v>0.35225120000000021</v>
      </c>
      <c r="D67" s="37">
        <v>4400</v>
      </c>
      <c r="E67">
        <v>3</v>
      </c>
      <c r="F67">
        <f>LOOKUP(E67,'Angle Percentile'!$E$3:$F$10)</f>
        <v>98</v>
      </c>
      <c r="G67">
        <f t="shared" si="14"/>
        <v>5.2335956242943828E-2</v>
      </c>
      <c r="H67">
        <f t="shared" si="15"/>
        <v>5.2359877559829883E-2</v>
      </c>
      <c r="I67">
        <v>55</v>
      </c>
      <c r="J67">
        <f>LOOKUP(I67,'Speed Percentiles'!$E$15:$F$17)</f>
        <v>35.944000000000017</v>
      </c>
      <c r="K67">
        <f t="shared" si="16"/>
        <v>1995.7997487106682</v>
      </c>
      <c r="L67">
        <f t="shared" si="17"/>
        <v>24.587199999999999</v>
      </c>
      <c r="M67">
        <f t="shared" si="18"/>
        <v>1.652362929754672</v>
      </c>
      <c r="N67" s="2">
        <f t="shared" si="19"/>
        <v>0.73940036831537337</v>
      </c>
      <c r="O67" t="str">
        <f t="shared" si="20"/>
        <v>OK</v>
      </c>
      <c r="P67" t="str">
        <f t="shared" si="21"/>
        <v>OK</v>
      </c>
      <c r="Q67" s="5" t="str">
        <f t="shared" si="22"/>
        <v>OK</v>
      </c>
      <c r="R67" s="5" t="str">
        <f t="shared" si="23"/>
        <v>OK</v>
      </c>
      <c r="S67" s="5" t="str">
        <f t="shared" si="24"/>
        <v>OK</v>
      </c>
      <c r="T67" s="4" t="str">
        <f t="shared" si="25"/>
        <v>OK</v>
      </c>
    </row>
    <row r="68" spans="3:20" x14ac:dyDescent="0.25">
      <c r="C68" s="3">
        <f t="shared" si="13"/>
        <v>0.50368080000000015</v>
      </c>
      <c r="D68" s="37">
        <v>4400</v>
      </c>
      <c r="E68">
        <v>3</v>
      </c>
      <c r="F68">
        <f>LOOKUP(E68,'Angle Percentile'!$E$3:$F$10)</f>
        <v>98</v>
      </c>
      <c r="G68">
        <f t="shared" si="14"/>
        <v>5.2335956242943828E-2</v>
      </c>
      <c r="H68">
        <f t="shared" si="15"/>
        <v>5.2359877559829883E-2</v>
      </c>
      <c r="I68">
        <v>45</v>
      </c>
      <c r="J68">
        <f>LOOKUP(I68,'Speed Percentiles'!$E$15:$F$17)</f>
        <v>51.396000000000015</v>
      </c>
      <c r="K68">
        <f t="shared" si="16"/>
        <v>1995.7997487106682</v>
      </c>
      <c r="L68">
        <f t="shared" si="17"/>
        <v>20.116800000000001</v>
      </c>
      <c r="M68">
        <f t="shared" si="18"/>
        <v>1.1061272504969293</v>
      </c>
      <c r="N68" s="2">
        <f t="shared" si="19"/>
        <v>0.46191264325244008</v>
      </c>
      <c r="O68" t="str">
        <f t="shared" si="20"/>
        <v>OK</v>
      </c>
      <c r="P68" t="str">
        <f t="shared" si="21"/>
        <v>OK</v>
      </c>
      <c r="Q68" s="5" t="str">
        <f t="shared" si="22"/>
        <v>OK</v>
      </c>
      <c r="R68" s="5" t="str">
        <f t="shared" si="23"/>
        <v>OK</v>
      </c>
      <c r="S68" s="5" t="str">
        <f t="shared" si="24"/>
        <v>OK</v>
      </c>
      <c r="T68" s="4" t="str">
        <f t="shared" si="25"/>
        <v>OK</v>
      </c>
    </row>
    <row r="69" spans="3:20" x14ac:dyDescent="0.25">
      <c r="C69" s="3">
        <f t="shared" si="13"/>
        <v>3.0738000000000026E-2</v>
      </c>
      <c r="D69">
        <v>5000</v>
      </c>
      <c r="E69">
        <v>25</v>
      </c>
      <c r="F69">
        <f>LOOKUP(E69,'Angle Percentile'!$E$3:$F$10)</f>
        <v>15</v>
      </c>
      <c r="G69">
        <f t="shared" si="14"/>
        <v>0.42261826174069944</v>
      </c>
      <c r="H69">
        <f t="shared" si="15"/>
        <v>0.43633231299858238</v>
      </c>
      <c r="I69">
        <v>65</v>
      </c>
      <c r="J69">
        <f>LOOKUP(I69,'Speed Percentiles'!$E$15:$F$17)</f>
        <v>20.492000000000019</v>
      </c>
      <c r="K69">
        <f t="shared" si="16"/>
        <v>2267.9542598984867</v>
      </c>
      <c r="L69">
        <f t="shared" si="17"/>
        <v>29.057599999999997</v>
      </c>
      <c r="M69">
        <f t="shared" si="18"/>
        <v>171.00952345300556</v>
      </c>
      <c r="N69" s="2">
        <f t="shared" si="19"/>
        <v>9999</v>
      </c>
      <c r="O69" t="str">
        <f t="shared" si="20"/>
        <v>NO</v>
      </c>
      <c r="P69" t="str">
        <f t="shared" si="21"/>
        <v>NO</v>
      </c>
      <c r="Q69" s="5" t="str">
        <f t="shared" si="22"/>
        <v>NO</v>
      </c>
      <c r="R69" s="5" t="str">
        <f t="shared" si="23"/>
        <v>NO</v>
      </c>
      <c r="S69" s="5" t="str">
        <f t="shared" si="24"/>
        <v>NO</v>
      </c>
      <c r="T69" s="4" t="str">
        <f t="shared" si="25"/>
        <v>NO</v>
      </c>
    </row>
    <row r="70" spans="3:20" x14ac:dyDescent="0.25">
      <c r="C70" s="3">
        <f t="shared" si="13"/>
        <v>5.3916000000000019E-2</v>
      </c>
      <c r="D70">
        <v>5000</v>
      </c>
      <c r="E70">
        <v>25</v>
      </c>
      <c r="F70">
        <f>LOOKUP(E70,'Angle Percentile'!$E$3:$F$10)</f>
        <v>15</v>
      </c>
      <c r="G70">
        <f t="shared" si="14"/>
        <v>0.42261826174069944</v>
      </c>
      <c r="H70">
        <f t="shared" si="15"/>
        <v>0.43633231299858238</v>
      </c>
      <c r="I70">
        <v>55</v>
      </c>
      <c r="J70">
        <f>LOOKUP(I70,'Speed Percentiles'!$E$15:$F$17)</f>
        <v>35.944000000000017</v>
      </c>
      <c r="K70">
        <f t="shared" si="16"/>
        <v>2267.9542598984867</v>
      </c>
      <c r="L70">
        <f t="shared" si="17"/>
        <v>24.587199999999999</v>
      </c>
      <c r="M70">
        <f t="shared" si="18"/>
        <v>122.43877122966671</v>
      </c>
      <c r="N70" s="2">
        <f t="shared" si="19"/>
        <v>42.69889578467069</v>
      </c>
      <c r="O70" t="str">
        <f t="shared" si="20"/>
        <v>NO</v>
      </c>
      <c r="P70" t="str">
        <f t="shared" si="21"/>
        <v>NO</v>
      </c>
      <c r="Q70" s="5" t="str">
        <f t="shared" si="22"/>
        <v>NO</v>
      </c>
      <c r="R70" s="5" t="str">
        <f t="shared" si="23"/>
        <v>NO</v>
      </c>
      <c r="S70" s="5" t="str">
        <f t="shared" si="24"/>
        <v>NO</v>
      </c>
      <c r="T70" s="4" t="str">
        <f t="shared" si="25"/>
        <v>NO</v>
      </c>
    </row>
    <row r="71" spans="3:20" x14ac:dyDescent="0.25">
      <c r="C71" s="3">
        <f t="shared" si="13"/>
        <v>5.3279200000000054E-2</v>
      </c>
      <c r="D71">
        <v>5000</v>
      </c>
      <c r="E71">
        <v>20</v>
      </c>
      <c r="F71">
        <f>LOOKUP(E71,'Angle Percentile'!$E$3:$F$10)</f>
        <v>26</v>
      </c>
      <c r="G71">
        <f t="shared" si="14"/>
        <v>0.34202014332566871</v>
      </c>
      <c r="H71">
        <f t="shared" si="15"/>
        <v>0.3490658503988659</v>
      </c>
      <c r="I71">
        <v>65</v>
      </c>
      <c r="J71">
        <f>LOOKUP(I71,'Speed Percentiles'!$E$15:$F$17)</f>
        <v>20.492000000000019</v>
      </c>
      <c r="K71">
        <f t="shared" si="16"/>
        <v>2267.9542598984867</v>
      </c>
      <c r="L71">
        <f t="shared" si="17"/>
        <v>29.057599999999997</v>
      </c>
      <c r="M71">
        <f t="shared" si="18"/>
        <v>112.00235315549318</v>
      </c>
      <c r="N71" s="2">
        <f t="shared" si="19"/>
        <v>40.497195402990542</v>
      </c>
      <c r="O71" t="str">
        <f t="shared" si="20"/>
        <v>NO</v>
      </c>
      <c r="P71" t="str">
        <f t="shared" si="21"/>
        <v>NO</v>
      </c>
      <c r="Q71" s="5" t="str">
        <f t="shared" si="22"/>
        <v>NO</v>
      </c>
      <c r="R71" s="5" t="str">
        <f t="shared" si="23"/>
        <v>NO</v>
      </c>
      <c r="S71" s="5" t="str">
        <f t="shared" si="24"/>
        <v>NO</v>
      </c>
      <c r="T71" s="4" t="str">
        <f t="shared" si="25"/>
        <v>NO</v>
      </c>
    </row>
    <row r="72" spans="3:20" x14ac:dyDescent="0.25">
      <c r="C72" s="3">
        <f t="shared" si="13"/>
        <v>7.7094000000000024E-2</v>
      </c>
      <c r="D72">
        <v>5000</v>
      </c>
      <c r="E72">
        <v>25</v>
      </c>
      <c r="F72">
        <f>LOOKUP(E72,'Angle Percentile'!$E$3:$F$10)</f>
        <v>15</v>
      </c>
      <c r="G72">
        <f t="shared" si="14"/>
        <v>0.42261826174069944</v>
      </c>
      <c r="H72">
        <f t="shared" si="15"/>
        <v>0.43633231299858238</v>
      </c>
      <c r="I72">
        <v>45</v>
      </c>
      <c r="J72">
        <f>LOOKUP(I72,'Speed Percentiles'!$E$15:$F$17)</f>
        <v>51.396000000000015</v>
      </c>
      <c r="K72">
        <f t="shared" si="16"/>
        <v>2267.9542598984867</v>
      </c>
      <c r="L72">
        <f t="shared" si="17"/>
        <v>20.116800000000001</v>
      </c>
      <c r="M72">
        <f t="shared" si="18"/>
        <v>81.963144376884344</v>
      </c>
      <c r="N72" s="2">
        <f t="shared" si="19"/>
        <v>32.837277343457252</v>
      </c>
      <c r="O72" t="str">
        <f t="shared" si="20"/>
        <v>NO</v>
      </c>
      <c r="P72" t="str">
        <f t="shared" si="21"/>
        <v>NO</v>
      </c>
      <c r="Q72" s="5" t="str">
        <f t="shared" si="22"/>
        <v>NO</v>
      </c>
      <c r="R72" s="5" t="str">
        <f t="shared" si="23"/>
        <v>NO</v>
      </c>
      <c r="S72" s="5" t="str">
        <f t="shared" si="24"/>
        <v>NO</v>
      </c>
      <c r="T72" s="4" t="str">
        <f t="shared" si="25"/>
        <v>OK</v>
      </c>
    </row>
    <row r="73" spans="3:20" x14ac:dyDescent="0.25">
      <c r="C73" s="3">
        <f t="shared" si="13"/>
        <v>9.3454400000000049E-2</v>
      </c>
      <c r="D73">
        <v>5000</v>
      </c>
      <c r="E73">
        <v>20</v>
      </c>
      <c r="F73">
        <f>LOOKUP(E73,'Angle Percentile'!$E$3:$F$10)</f>
        <v>26</v>
      </c>
      <c r="G73">
        <f t="shared" si="14"/>
        <v>0.34202014332566871</v>
      </c>
      <c r="H73">
        <f t="shared" si="15"/>
        <v>0.3490658503988659</v>
      </c>
      <c r="I73">
        <v>55</v>
      </c>
      <c r="J73">
        <f>LOOKUP(I73,'Speed Percentiles'!$E$15:$F$17)</f>
        <v>35.944000000000017</v>
      </c>
      <c r="K73">
        <f t="shared" si="16"/>
        <v>2267.9542598984867</v>
      </c>
      <c r="L73">
        <f t="shared" si="17"/>
        <v>24.587199999999999</v>
      </c>
      <c r="M73">
        <f t="shared" si="18"/>
        <v>80.191033916063205</v>
      </c>
      <c r="N73" s="2">
        <f t="shared" si="19"/>
        <v>32.337045229360108</v>
      </c>
      <c r="O73" t="str">
        <f t="shared" si="20"/>
        <v>NO</v>
      </c>
      <c r="P73" t="str">
        <f t="shared" si="21"/>
        <v>NO</v>
      </c>
      <c r="Q73" s="5" t="str">
        <f t="shared" si="22"/>
        <v>NO</v>
      </c>
      <c r="R73" s="5" t="str">
        <f t="shared" si="23"/>
        <v>NO</v>
      </c>
      <c r="S73" s="5" t="str">
        <f t="shared" si="24"/>
        <v>NO</v>
      </c>
      <c r="T73" s="4" t="str">
        <f t="shared" si="25"/>
        <v>OK</v>
      </c>
    </row>
    <row r="74" spans="3:20" x14ac:dyDescent="0.25">
      <c r="C74" s="3">
        <f t="shared" si="13"/>
        <v>9.0164800000000087E-2</v>
      </c>
      <c r="D74">
        <v>5000</v>
      </c>
      <c r="E74">
        <v>15</v>
      </c>
      <c r="F74">
        <f>LOOKUP(E74,'Angle Percentile'!$E$3:$F$10)</f>
        <v>44</v>
      </c>
      <c r="G74">
        <f t="shared" si="14"/>
        <v>0.25881904510252074</v>
      </c>
      <c r="H74">
        <f t="shared" si="15"/>
        <v>0.26179938779914941</v>
      </c>
      <c r="I74">
        <v>65</v>
      </c>
      <c r="J74">
        <f>LOOKUP(I74,'Speed Percentiles'!$E$15:$F$17)</f>
        <v>20.492000000000019</v>
      </c>
      <c r="K74">
        <f t="shared" si="16"/>
        <v>2267.9542598984867</v>
      </c>
      <c r="L74">
        <f t="shared" si="17"/>
        <v>29.057599999999997</v>
      </c>
      <c r="M74">
        <f t="shared" si="18"/>
        <v>64.138121954636588</v>
      </c>
      <c r="N74" s="2">
        <f t="shared" si="19"/>
        <v>27.182165952955387</v>
      </c>
      <c r="O74" t="str">
        <f t="shared" si="20"/>
        <v>NO</v>
      </c>
      <c r="P74" t="str">
        <f t="shared" si="21"/>
        <v>NO</v>
      </c>
      <c r="Q74" s="5" t="str">
        <f t="shared" si="22"/>
        <v>NO</v>
      </c>
      <c r="R74" s="5" t="str">
        <f t="shared" si="23"/>
        <v>NO</v>
      </c>
      <c r="S74" s="5" t="str">
        <f t="shared" si="24"/>
        <v>OK</v>
      </c>
      <c r="T74" s="4" t="str">
        <f t="shared" si="25"/>
        <v>OK</v>
      </c>
    </row>
    <row r="75" spans="3:20" x14ac:dyDescent="0.25">
      <c r="C75" s="3">
        <f t="shared" si="13"/>
        <v>0.13362960000000004</v>
      </c>
      <c r="D75">
        <v>5000</v>
      </c>
      <c r="E75">
        <v>20</v>
      </c>
      <c r="F75">
        <f>LOOKUP(E75,'Angle Percentile'!$E$3:$F$10)</f>
        <v>26</v>
      </c>
      <c r="G75">
        <f t="shared" si="14"/>
        <v>0.34202014332566871</v>
      </c>
      <c r="H75">
        <f t="shared" si="15"/>
        <v>0.3490658503988659</v>
      </c>
      <c r="I75">
        <v>45</v>
      </c>
      <c r="J75">
        <f>LOOKUP(I75,'Speed Percentiles'!$E$15:$F$17)</f>
        <v>51.396000000000015</v>
      </c>
      <c r="K75">
        <f t="shared" si="16"/>
        <v>2267.9542598984867</v>
      </c>
      <c r="L75">
        <f t="shared" si="17"/>
        <v>20.116800000000001</v>
      </c>
      <c r="M75">
        <f t="shared" si="18"/>
        <v>53.681601216538184</v>
      </c>
      <c r="N75" s="2">
        <f t="shared" si="19"/>
        <v>23.470253418001398</v>
      </c>
      <c r="O75" t="str">
        <f t="shared" si="20"/>
        <v>NO</v>
      </c>
      <c r="P75" t="str">
        <f t="shared" si="21"/>
        <v>NO</v>
      </c>
      <c r="Q75" s="5" t="str">
        <f t="shared" si="22"/>
        <v>NO</v>
      </c>
      <c r="R75" s="5" t="str">
        <f t="shared" si="23"/>
        <v>NO</v>
      </c>
      <c r="S75" s="5" t="str">
        <f t="shared" si="24"/>
        <v>OK</v>
      </c>
      <c r="T75" s="4" t="str">
        <f t="shared" si="25"/>
        <v>OK</v>
      </c>
    </row>
    <row r="76" spans="3:20" x14ac:dyDescent="0.25">
      <c r="C76" s="3">
        <f t="shared" si="13"/>
        <v>0.15815360000000006</v>
      </c>
      <c r="D76">
        <v>5000</v>
      </c>
      <c r="E76">
        <v>15</v>
      </c>
      <c r="F76">
        <f>LOOKUP(E76,'Angle Percentile'!$E$3:$F$10)</f>
        <v>44</v>
      </c>
      <c r="G76">
        <f t="shared" si="14"/>
        <v>0.25881904510252074</v>
      </c>
      <c r="H76">
        <f t="shared" si="15"/>
        <v>0.26179938779914941</v>
      </c>
      <c r="I76">
        <v>55</v>
      </c>
      <c r="J76">
        <f>LOOKUP(I76,'Speed Percentiles'!$E$15:$F$17)</f>
        <v>35.944000000000017</v>
      </c>
      <c r="K76">
        <f t="shared" si="16"/>
        <v>2267.9542598984867</v>
      </c>
      <c r="L76">
        <f t="shared" si="17"/>
        <v>24.587199999999999</v>
      </c>
      <c r="M76">
        <f t="shared" si="18"/>
        <v>45.921377257461693</v>
      </c>
      <c r="N76" s="2">
        <f t="shared" si="19"/>
        <v>20.528059646790538</v>
      </c>
      <c r="O76" t="str">
        <f t="shared" si="20"/>
        <v>NO</v>
      </c>
      <c r="P76" t="str">
        <f t="shared" si="21"/>
        <v>NO</v>
      </c>
      <c r="Q76" s="5" t="str">
        <f t="shared" si="22"/>
        <v>NO</v>
      </c>
      <c r="R76" s="5" t="str">
        <f t="shared" si="23"/>
        <v>OK</v>
      </c>
      <c r="S76" s="5" t="str">
        <f t="shared" si="24"/>
        <v>OK</v>
      </c>
      <c r="T76" s="4" t="str">
        <f t="shared" si="25"/>
        <v>OK</v>
      </c>
    </row>
    <row r="77" spans="3:20" x14ac:dyDescent="0.25">
      <c r="C77" s="3">
        <f t="shared" si="13"/>
        <v>0.22614240000000005</v>
      </c>
      <c r="D77">
        <v>5000</v>
      </c>
      <c r="E77">
        <v>15</v>
      </c>
      <c r="F77">
        <f>LOOKUP(E77,'Angle Percentile'!$E$3:$F$10)</f>
        <v>44</v>
      </c>
      <c r="G77">
        <f t="shared" si="14"/>
        <v>0.25881904510252074</v>
      </c>
      <c r="H77">
        <f t="shared" si="15"/>
        <v>0.26179938779914941</v>
      </c>
      <c r="I77">
        <v>45</v>
      </c>
      <c r="J77">
        <f>LOOKUP(I77,'Speed Percentiles'!$E$15:$F$17)</f>
        <v>51.396000000000015</v>
      </c>
      <c r="K77">
        <f t="shared" si="16"/>
        <v>2267.9542598984867</v>
      </c>
      <c r="L77">
        <f t="shared" si="17"/>
        <v>20.116800000000001</v>
      </c>
      <c r="M77">
        <f t="shared" si="18"/>
        <v>30.740756676482629</v>
      </c>
      <c r="N77" s="2">
        <f t="shared" si="19"/>
        <v>14.316304391653174</v>
      </c>
      <c r="O77" t="str">
        <f t="shared" si="20"/>
        <v>NO</v>
      </c>
      <c r="P77" t="str">
        <f t="shared" si="21"/>
        <v>NO</v>
      </c>
      <c r="Q77" s="5" t="str">
        <f t="shared" si="22"/>
        <v>OK</v>
      </c>
      <c r="R77" s="5" t="str">
        <f t="shared" si="23"/>
        <v>OK</v>
      </c>
      <c r="S77" s="5" t="str">
        <f t="shared" si="24"/>
        <v>OK</v>
      </c>
      <c r="T77" s="4" t="str">
        <f t="shared" si="25"/>
        <v>OK</v>
      </c>
    </row>
    <row r="78" spans="3:20" x14ac:dyDescent="0.25">
      <c r="C78" s="3">
        <f t="shared" si="13"/>
        <v>0.13729640000000015</v>
      </c>
      <c r="D78">
        <v>5000</v>
      </c>
      <c r="E78">
        <v>10</v>
      </c>
      <c r="F78">
        <f>LOOKUP(E78,'Angle Percentile'!$E$3:$F$10)</f>
        <v>67</v>
      </c>
      <c r="G78">
        <f t="shared" si="14"/>
        <v>0.17364817766693033</v>
      </c>
      <c r="H78">
        <f t="shared" si="15"/>
        <v>0.17453292519943295</v>
      </c>
      <c r="I78">
        <v>65</v>
      </c>
      <c r="J78">
        <f>LOOKUP(I78,'Speed Percentiles'!$E$15:$F$17)</f>
        <v>20.492000000000019</v>
      </c>
      <c r="K78">
        <f t="shared" si="16"/>
        <v>2267.9542598984867</v>
      </c>
      <c r="L78">
        <f t="shared" si="17"/>
        <v>29.057599999999997</v>
      </c>
      <c r="M78">
        <f t="shared" si="18"/>
        <v>28.871160295004113</v>
      </c>
      <c r="N78" s="2">
        <f t="shared" si="19"/>
        <v>13.566549429862089</v>
      </c>
      <c r="O78" t="str">
        <f t="shared" si="20"/>
        <v>NO</v>
      </c>
      <c r="P78" t="str">
        <f t="shared" si="21"/>
        <v>NO</v>
      </c>
      <c r="Q78" s="5" t="str">
        <f t="shared" si="22"/>
        <v>OK</v>
      </c>
      <c r="R78" s="5" t="str">
        <f t="shared" si="23"/>
        <v>OK</v>
      </c>
      <c r="S78" s="5" t="str">
        <f t="shared" si="24"/>
        <v>OK</v>
      </c>
      <c r="T78" s="4" t="str">
        <f t="shared" si="25"/>
        <v>OK</v>
      </c>
    </row>
    <row r="79" spans="3:20" x14ac:dyDescent="0.25">
      <c r="C79" s="3">
        <f t="shared" ref="C79:C86" si="26">F79/100*J79/100</f>
        <v>0.24082480000000012</v>
      </c>
      <c r="D79">
        <v>5000</v>
      </c>
      <c r="E79">
        <v>10</v>
      </c>
      <c r="F79">
        <f>LOOKUP(E79,'Angle Percentile'!$E$3:$F$10)</f>
        <v>67</v>
      </c>
      <c r="G79">
        <f t="shared" ref="G79:G86" si="27">SIN(H79)</f>
        <v>0.17364817766693033</v>
      </c>
      <c r="H79">
        <f t="shared" ref="H79:H86" si="28">E79*PI()/180</f>
        <v>0.17453292519943295</v>
      </c>
      <c r="I79">
        <v>55</v>
      </c>
      <c r="J79">
        <f>LOOKUP(I79,'Speed Percentiles'!$E$15:$F$17)</f>
        <v>35.944000000000017</v>
      </c>
      <c r="K79">
        <f t="shared" ref="K79:K86" si="29">D79/2.20463</f>
        <v>2267.9542598984867</v>
      </c>
      <c r="L79">
        <f t="shared" ref="L79:L86" si="30">(I79/3600)*(5280*0.3048)</f>
        <v>24.587199999999999</v>
      </c>
      <c r="M79">
        <f t="shared" ref="M79:M86" si="31">(0.5*(K79)*((SIN(H79))*L79)^2)/1000</f>
        <v>20.671067430150881</v>
      </c>
      <c r="N79" s="2">
        <f t="shared" ref="N79:N86" si="32">IF(M79&lt;150,ROUNDUP(-0.0013*(M79^2),1)+(0.508*M79),9999)</f>
        <v>9.9009022545166481</v>
      </c>
      <c r="O79" t="str">
        <f t="shared" ref="O79:O86" si="33">IF($N79+6&lt;11, "OK","NO")</f>
        <v>NO</v>
      </c>
      <c r="P79" t="str">
        <f t="shared" ref="P79:P86" si="34">IF($N79+6&lt;17, "OK","NO")</f>
        <v>OK</v>
      </c>
      <c r="Q79" s="5" t="str">
        <f t="shared" ref="Q79:Q86" si="35">IF($N79+6&lt;23, "OK","NO")</f>
        <v>OK</v>
      </c>
      <c r="R79" s="5" t="str">
        <f t="shared" ref="R79:R86" si="36">IF($N79+6&lt;29, "OK","NO")</f>
        <v>OK</v>
      </c>
      <c r="S79" s="5" t="str">
        <f t="shared" ref="S79:S86" si="37">IF($N79+6&lt;35, "OK","NO")</f>
        <v>OK</v>
      </c>
      <c r="T79" s="4" t="str">
        <f t="shared" ref="T79:T86" si="38">IF($N79+6&lt;41, "OK","NO")</f>
        <v>OK</v>
      </c>
    </row>
    <row r="80" spans="3:20" x14ac:dyDescent="0.25">
      <c r="C80" s="3">
        <f t="shared" si="26"/>
        <v>0.34435320000000014</v>
      </c>
      <c r="D80">
        <v>5000</v>
      </c>
      <c r="E80">
        <v>10</v>
      </c>
      <c r="F80">
        <f>LOOKUP(E80,'Angle Percentile'!$E$3:$F$10)</f>
        <v>67</v>
      </c>
      <c r="G80">
        <f t="shared" si="27"/>
        <v>0.17364817766693033</v>
      </c>
      <c r="H80">
        <f t="shared" si="28"/>
        <v>0.17453292519943295</v>
      </c>
      <c r="I80">
        <v>45</v>
      </c>
      <c r="J80">
        <f>LOOKUP(I80,'Speed Percentiles'!$E$15:$F$17)</f>
        <v>51.396000000000015</v>
      </c>
      <c r="K80">
        <f t="shared" si="29"/>
        <v>2267.9542598984867</v>
      </c>
      <c r="L80">
        <f t="shared" si="30"/>
        <v>20.116800000000001</v>
      </c>
      <c r="M80">
        <f t="shared" si="31"/>
        <v>13.837656709439845</v>
      </c>
      <c r="N80" s="2">
        <f t="shared" si="32"/>
        <v>6.729529608395441</v>
      </c>
      <c r="O80" t="str">
        <f t="shared" si="33"/>
        <v>NO</v>
      </c>
      <c r="P80" t="str">
        <f t="shared" si="34"/>
        <v>OK</v>
      </c>
      <c r="Q80" s="5" t="str">
        <f t="shared" si="35"/>
        <v>OK</v>
      </c>
      <c r="R80" s="5" t="str">
        <f t="shared" si="36"/>
        <v>OK</v>
      </c>
      <c r="S80" s="5" t="str">
        <f t="shared" si="37"/>
        <v>OK</v>
      </c>
      <c r="T80" s="4" t="str">
        <f t="shared" si="38"/>
        <v>OK</v>
      </c>
    </row>
    <row r="81" spans="3:20" x14ac:dyDescent="0.25">
      <c r="C81" s="3">
        <f t="shared" si="26"/>
        <v>0.18442800000000015</v>
      </c>
      <c r="D81">
        <v>5000</v>
      </c>
      <c r="E81">
        <v>5</v>
      </c>
      <c r="F81">
        <f>LOOKUP(E81,'Angle Percentile'!$E$3:$F$10)</f>
        <v>90</v>
      </c>
      <c r="G81">
        <f t="shared" si="27"/>
        <v>8.7155742747658166E-2</v>
      </c>
      <c r="H81">
        <f t="shared" si="28"/>
        <v>8.7266462599716474E-2</v>
      </c>
      <c r="I81">
        <v>65</v>
      </c>
      <c r="J81">
        <f>LOOKUP(I81,'Speed Percentiles'!$E$15:$F$17)</f>
        <v>20.492000000000019</v>
      </c>
      <c r="K81">
        <f t="shared" si="29"/>
        <v>2267.9542598984867</v>
      </c>
      <c r="L81">
        <f t="shared" si="30"/>
        <v>29.057599999999997</v>
      </c>
      <c r="M81">
        <f t="shared" si="31"/>
        <v>7.2730369606800238</v>
      </c>
      <c r="N81" s="2">
        <f t="shared" si="32"/>
        <v>3.5947027760254522</v>
      </c>
      <c r="O81" t="str">
        <f t="shared" si="33"/>
        <v>OK</v>
      </c>
      <c r="P81" t="str">
        <f t="shared" si="34"/>
        <v>OK</v>
      </c>
      <c r="Q81" s="5" t="str">
        <f t="shared" si="35"/>
        <v>OK</v>
      </c>
      <c r="R81" s="5" t="str">
        <f t="shared" si="36"/>
        <v>OK</v>
      </c>
      <c r="S81" s="5" t="str">
        <f t="shared" si="37"/>
        <v>OK</v>
      </c>
      <c r="T81" s="4" t="str">
        <f t="shared" si="38"/>
        <v>OK</v>
      </c>
    </row>
    <row r="82" spans="3:20" x14ac:dyDescent="0.25">
      <c r="C82" s="3">
        <f t="shared" si="26"/>
        <v>0.32349600000000017</v>
      </c>
      <c r="D82">
        <v>5000</v>
      </c>
      <c r="E82">
        <v>5</v>
      </c>
      <c r="F82">
        <f>LOOKUP(E82,'Angle Percentile'!$E$3:$F$10)</f>
        <v>90</v>
      </c>
      <c r="G82">
        <f t="shared" si="27"/>
        <v>8.7155742747658166E-2</v>
      </c>
      <c r="H82">
        <f t="shared" si="28"/>
        <v>8.7266462599716474E-2</v>
      </c>
      <c r="I82">
        <v>55</v>
      </c>
      <c r="J82">
        <f>LOOKUP(I82,'Speed Percentiles'!$E$15:$F$17)</f>
        <v>35.944000000000017</v>
      </c>
      <c r="K82">
        <f t="shared" si="29"/>
        <v>2267.9542598984867</v>
      </c>
      <c r="L82">
        <f t="shared" si="30"/>
        <v>24.587199999999999</v>
      </c>
      <c r="M82">
        <f t="shared" si="31"/>
        <v>5.2073223209602535</v>
      </c>
      <c r="N82" s="2">
        <f t="shared" si="32"/>
        <v>2.5453197390478088</v>
      </c>
      <c r="O82" t="str">
        <f t="shared" si="33"/>
        <v>OK</v>
      </c>
      <c r="P82" t="str">
        <f t="shared" si="34"/>
        <v>OK</v>
      </c>
      <c r="Q82" s="5" t="str">
        <f t="shared" si="35"/>
        <v>OK</v>
      </c>
      <c r="R82" s="5" t="str">
        <f t="shared" si="36"/>
        <v>OK</v>
      </c>
      <c r="S82" s="5" t="str">
        <f t="shared" si="37"/>
        <v>OK</v>
      </c>
      <c r="T82" s="4" t="str">
        <f t="shared" si="38"/>
        <v>OK</v>
      </c>
    </row>
    <row r="83" spans="3:20" x14ac:dyDescent="0.25">
      <c r="C83" s="3">
        <f t="shared" si="26"/>
        <v>0.46256400000000014</v>
      </c>
      <c r="D83">
        <v>5000</v>
      </c>
      <c r="E83">
        <v>5</v>
      </c>
      <c r="F83">
        <f>LOOKUP(E83,'Angle Percentile'!$E$3:$F$10)</f>
        <v>90</v>
      </c>
      <c r="G83">
        <f t="shared" si="27"/>
        <v>8.7155742747658166E-2</v>
      </c>
      <c r="H83">
        <f t="shared" si="28"/>
        <v>8.7266462599716474E-2</v>
      </c>
      <c r="I83">
        <v>45</v>
      </c>
      <c r="J83">
        <f>LOOKUP(I83,'Speed Percentiles'!$E$15:$F$17)</f>
        <v>51.396000000000015</v>
      </c>
      <c r="K83">
        <f t="shared" si="29"/>
        <v>2267.9542598984867</v>
      </c>
      <c r="L83">
        <f t="shared" si="30"/>
        <v>20.116800000000001</v>
      </c>
      <c r="M83">
        <f t="shared" si="31"/>
        <v>3.4858934545271132</v>
      </c>
      <c r="N83" s="2">
        <f t="shared" si="32"/>
        <v>1.6708338748997735</v>
      </c>
      <c r="O83" t="str">
        <f t="shared" si="33"/>
        <v>OK</v>
      </c>
      <c r="P83" t="str">
        <f t="shared" si="34"/>
        <v>OK</v>
      </c>
      <c r="Q83" s="5" t="str">
        <f t="shared" si="35"/>
        <v>OK</v>
      </c>
      <c r="R83" s="5" t="str">
        <f t="shared" si="36"/>
        <v>OK</v>
      </c>
      <c r="S83" s="5" t="str">
        <f t="shared" si="37"/>
        <v>OK</v>
      </c>
      <c r="T83" s="4" t="str">
        <f t="shared" si="38"/>
        <v>OK</v>
      </c>
    </row>
    <row r="84" spans="3:20" x14ac:dyDescent="0.25">
      <c r="C84" s="3">
        <f t="shared" si="26"/>
        <v>0.20082160000000018</v>
      </c>
      <c r="D84">
        <v>5000</v>
      </c>
      <c r="E84">
        <v>3</v>
      </c>
      <c r="F84">
        <f>LOOKUP(E84,'Angle Percentile'!$E$3:$F$10)</f>
        <v>98</v>
      </c>
      <c r="G84">
        <f t="shared" si="27"/>
        <v>5.2335956242943828E-2</v>
      </c>
      <c r="H84">
        <f t="shared" si="28"/>
        <v>5.2359877559829883E-2</v>
      </c>
      <c r="I84">
        <v>65</v>
      </c>
      <c r="J84">
        <f>LOOKUP(I84,'Speed Percentiles'!$E$15:$F$17)</f>
        <v>20.492000000000019</v>
      </c>
      <c r="K84">
        <f t="shared" si="29"/>
        <v>2267.9542598984867</v>
      </c>
      <c r="L84">
        <f t="shared" si="30"/>
        <v>29.057599999999997</v>
      </c>
      <c r="M84">
        <f t="shared" si="31"/>
        <v>2.6225519827999584</v>
      </c>
      <c r="N84" s="2">
        <f t="shared" si="32"/>
        <v>1.2322564072623787</v>
      </c>
      <c r="O84" t="str">
        <f t="shared" si="33"/>
        <v>OK</v>
      </c>
      <c r="P84" t="str">
        <f t="shared" si="34"/>
        <v>OK</v>
      </c>
      <c r="Q84" s="5" t="str">
        <f t="shared" si="35"/>
        <v>OK</v>
      </c>
      <c r="R84" s="5" t="str">
        <f t="shared" si="36"/>
        <v>OK</v>
      </c>
      <c r="S84" s="5" t="str">
        <f t="shared" si="37"/>
        <v>OK</v>
      </c>
      <c r="T84" s="4" t="str">
        <f t="shared" si="38"/>
        <v>OK</v>
      </c>
    </row>
    <row r="85" spans="3:20" x14ac:dyDescent="0.25">
      <c r="C85" s="3">
        <f t="shared" si="26"/>
        <v>0.35225120000000021</v>
      </c>
      <c r="D85">
        <v>5000</v>
      </c>
      <c r="E85">
        <v>3</v>
      </c>
      <c r="F85">
        <f>LOOKUP(E85,'Angle Percentile'!$E$3:$F$10)</f>
        <v>98</v>
      </c>
      <c r="G85">
        <f t="shared" si="27"/>
        <v>5.2335956242943828E-2</v>
      </c>
      <c r="H85">
        <f t="shared" si="28"/>
        <v>5.2359877559829883E-2</v>
      </c>
      <c r="I85">
        <v>55</v>
      </c>
      <c r="J85">
        <f>LOOKUP(I85,'Speed Percentiles'!$E$15:$F$17)</f>
        <v>35.944000000000017</v>
      </c>
      <c r="K85">
        <f t="shared" si="29"/>
        <v>2267.9542598984867</v>
      </c>
      <c r="L85">
        <f t="shared" si="30"/>
        <v>24.587199999999999</v>
      </c>
      <c r="M85">
        <f t="shared" si="31"/>
        <v>1.877685147448491</v>
      </c>
      <c r="N85" s="2">
        <f t="shared" si="32"/>
        <v>0.85386405490383344</v>
      </c>
      <c r="O85" t="str">
        <f t="shared" si="33"/>
        <v>OK</v>
      </c>
      <c r="P85" t="str">
        <f t="shared" si="34"/>
        <v>OK</v>
      </c>
      <c r="Q85" s="5" t="str">
        <f t="shared" si="35"/>
        <v>OK</v>
      </c>
      <c r="R85" s="5" t="str">
        <f t="shared" si="36"/>
        <v>OK</v>
      </c>
      <c r="S85" s="5" t="str">
        <f t="shared" si="37"/>
        <v>OK</v>
      </c>
      <c r="T85" s="4" t="str">
        <f t="shared" si="38"/>
        <v>OK</v>
      </c>
    </row>
    <row r="86" spans="3:20" x14ac:dyDescent="0.25">
      <c r="C86" s="3">
        <f t="shared" si="26"/>
        <v>0.50368080000000015</v>
      </c>
      <c r="D86">
        <v>5000</v>
      </c>
      <c r="E86">
        <v>3</v>
      </c>
      <c r="F86">
        <f>LOOKUP(E86,'Angle Percentile'!$E$3:$F$10)</f>
        <v>98</v>
      </c>
      <c r="G86">
        <f t="shared" si="27"/>
        <v>5.2335956242943828E-2</v>
      </c>
      <c r="H86">
        <f t="shared" si="28"/>
        <v>5.2359877559829883E-2</v>
      </c>
      <c r="I86">
        <v>45</v>
      </c>
      <c r="J86">
        <f>LOOKUP(I86,'Speed Percentiles'!$E$15:$F$17)</f>
        <v>51.396000000000015</v>
      </c>
      <c r="K86">
        <f t="shared" si="29"/>
        <v>2267.9542598984867</v>
      </c>
      <c r="L86">
        <f t="shared" si="30"/>
        <v>20.116800000000001</v>
      </c>
      <c r="M86">
        <f t="shared" si="31"/>
        <v>1.2569627846556015</v>
      </c>
      <c r="N86" s="2">
        <f t="shared" si="32"/>
        <v>0.53853709460504562</v>
      </c>
      <c r="O86" t="str">
        <f t="shared" si="33"/>
        <v>OK</v>
      </c>
      <c r="P86" t="str">
        <f t="shared" si="34"/>
        <v>OK</v>
      </c>
      <c r="Q86" s="5" t="str">
        <f t="shared" si="35"/>
        <v>OK</v>
      </c>
      <c r="R86" s="5" t="str">
        <f t="shared" si="36"/>
        <v>OK</v>
      </c>
      <c r="S86" s="5" t="str">
        <f t="shared" si="37"/>
        <v>OK</v>
      </c>
      <c r="T86" s="4" t="str">
        <f t="shared" si="38"/>
        <v>OK</v>
      </c>
    </row>
    <row r="87" spans="3:20" x14ac:dyDescent="0.25">
      <c r="C87" s="3">
        <f t="shared" ref="C87:C143" si="39">F87/100*J87/100</f>
        <v>3.0738000000000026E-2</v>
      </c>
      <c r="D87" s="6">
        <v>10000</v>
      </c>
      <c r="E87" s="6">
        <v>25</v>
      </c>
      <c r="F87">
        <f>LOOKUP(E87,'Angle Percentile'!$E$3:$F$10)</f>
        <v>15</v>
      </c>
      <c r="G87">
        <f t="shared" ref="G87:G143" si="40">SIN(H87)</f>
        <v>0.42261826174069944</v>
      </c>
      <c r="H87" s="6">
        <f t="shared" ref="H87:H110" si="41">E87*PI()/180</f>
        <v>0.43633231299858238</v>
      </c>
      <c r="I87" s="6">
        <v>65</v>
      </c>
      <c r="J87">
        <f>LOOKUP(I87,'Speed Percentiles'!$E$15:$F$17)</f>
        <v>20.492000000000019</v>
      </c>
      <c r="K87" s="6">
        <f t="shared" ref="K87:K110" si="42">D87/2.20463</f>
        <v>4535.9085197969735</v>
      </c>
      <c r="L87" s="6">
        <f t="shared" ref="L87:L110" si="43">(I87/3600)*(5280*0.3048)</f>
        <v>29.057599999999997</v>
      </c>
      <c r="M87" s="6">
        <f t="shared" ref="M87:M110" si="44">(0.5*(K87)*((SIN(H87))*L87)^2)/1000</f>
        <v>342.01904690601111</v>
      </c>
      <c r="N87" s="7">
        <f t="shared" ref="N87:N110" si="45">IF(M87&lt;150,ROUNDUP(-0.0013*(M87^2),1)+(0.508*M87),9999)</f>
        <v>9999</v>
      </c>
      <c r="O87" t="str">
        <f t="shared" ref="O87:O110" si="46">IF($N87+6&lt;11, "OK","NO")</f>
        <v>NO</v>
      </c>
      <c r="P87" t="str">
        <f t="shared" ref="P87:P110" si="47">IF($N87+6&lt;17, "OK","NO")</f>
        <v>NO</v>
      </c>
      <c r="Q87" s="5" t="str">
        <f t="shared" ref="Q87:Q110" si="48">IF($N87+6&lt;23, "OK","NO")</f>
        <v>NO</v>
      </c>
      <c r="R87" s="5" t="str">
        <f t="shared" ref="R87:R110" si="49">IF($N87+6&lt;29, "OK","NO")</f>
        <v>NO</v>
      </c>
      <c r="S87" s="5" t="str">
        <f t="shared" ref="S87:S110" si="50">IF($N87+6&lt;35, "OK","NO")</f>
        <v>NO</v>
      </c>
      <c r="T87" s="4" t="str">
        <f t="shared" ref="T87:T110" si="51">IF($N87+6&lt;41, "OK","NO")</f>
        <v>NO</v>
      </c>
    </row>
    <row r="88" spans="3:20" x14ac:dyDescent="0.25">
      <c r="C88" s="3">
        <f t="shared" si="39"/>
        <v>5.3279200000000054E-2</v>
      </c>
      <c r="D88" s="6">
        <v>10000</v>
      </c>
      <c r="E88" s="6">
        <v>20</v>
      </c>
      <c r="F88">
        <f>LOOKUP(E88,'Angle Percentile'!$E$3:$F$10)</f>
        <v>26</v>
      </c>
      <c r="G88">
        <f t="shared" si="40"/>
        <v>0.34202014332566871</v>
      </c>
      <c r="H88" s="6">
        <f t="shared" si="41"/>
        <v>0.3490658503988659</v>
      </c>
      <c r="I88" s="6">
        <v>65</v>
      </c>
      <c r="J88">
        <f>LOOKUP(I88,'Speed Percentiles'!$E$15:$F$17)</f>
        <v>20.492000000000019</v>
      </c>
      <c r="K88" s="6">
        <f t="shared" si="42"/>
        <v>4535.9085197969735</v>
      </c>
      <c r="L88" s="6">
        <f t="shared" si="43"/>
        <v>29.057599999999997</v>
      </c>
      <c r="M88" s="6">
        <f t="shared" si="44"/>
        <v>224.00470631098636</v>
      </c>
      <c r="N88" s="7">
        <f t="shared" si="45"/>
        <v>9999</v>
      </c>
      <c r="O88" t="str">
        <f t="shared" si="46"/>
        <v>NO</v>
      </c>
      <c r="P88" t="str">
        <f t="shared" si="47"/>
        <v>NO</v>
      </c>
      <c r="Q88" s="5" t="str">
        <f t="shared" si="48"/>
        <v>NO</v>
      </c>
      <c r="R88" s="5" t="str">
        <f t="shared" si="49"/>
        <v>NO</v>
      </c>
      <c r="S88" s="5" t="str">
        <f t="shared" si="50"/>
        <v>NO</v>
      </c>
      <c r="T88" s="4" t="str">
        <f t="shared" si="51"/>
        <v>NO</v>
      </c>
    </row>
    <row r="89" spans="3:20" x14ac:dyDescent="0.25">
      <c r="C89" s="3">
        <f t="shared" si="39"/>
        <v>5.3916000000000019E-2</v>
      </c>
      <c r="D89" s="6">
        <v>10000</v>
      </c>
      <c r="E89" s="6">
        <v>25</v>
      </c>
      <c r="F89">
        <f>LOOKUP(E89,'Angle Percentile'!$E$3:$F$10)</f>
        <v>15</v>
      </c>
      <c r="G89">
        <f t="shared" si="40"/>
        <v>0.42261826174069944</v>
      </c>
      <c r="H89" s="6">
        <f t="shared" si="41"/>
        <v>0.43633231299858238</v>
      </c>
      <c r="I89" s="6">
        <v>55</v>
      </c>
      <c r="J89">
        <f>LOOKUP(I89,'Speed Percentiles'!$E$15:$F$17)</f>
        <v>35.944000000000017</v>
      </c>
      <c r="K89" s="6">
        <f t="shared" si="42"/>
        <v>4535.9085197969735</v>
      </c>
      <c r="L89" s="6">
        <f t="shared" si="43"/>
        <v>24.587199999999999</v>
      </c>
      <c r="M89" s="6">
        <f t="shared" si="44"/>
        <v>244.87754245933343</v>
      </c>
      <c r="N89" s="7">
        <f t="shared" si="45"/>
        <v>9999</v>
      </c>
      <c r="O89" t="str">
        <f t="shared" si="46"/>
        <v>NO</v>
      </c>
      <c r="P89" t="str">
        <f t="shared" si="47"/>
        <v>NO</v>
      </c>
      <c r="Q89" s="5" t="str">
        <f t="shared" si="48"/>
        <v>NO</v>
      </c>
      <c r="R89" s="5" t="str">
        <f t="shared" si="49"/>
        <v>NO</v>
      </c>
      <c r="S89" s="5" t="str">
        <f t="shared" si="50"/>
        <v>NO</v>
      </c>
      <c r="T89" s="4" t="str">
        <f t="shared" si="51"/>
        <v>NO</v>
      </c>
    </row>
    <row r="90" spans="3:20" x14ac:dyDescent="0.25">
      <c r="C90" s="3">
        <f t="shared" si="39"/>
        <v>9.0164800000000087E-2</v>
      </c>
      <c r="D90" s="6">
        <v>10000</v>
      </c>
      <c r="E90" s="6">
        <v>15</v>
      </c>
      <c r="F90">
        <f>LOOKUP(E90,'Angle Percentile'!$E$3:$F$10)</f>
        <v>44</v>
      </c>
      <c r="G90">
        <f t="shared" si="40"/>
        <v>0.25881904510252074</v>
      </c>
      <c r="H90" s="6">
        <f t="shared" si="41"/>
        <v>0.26179938779914941</v>
      </c>
      <c r="I90" s="6">
        <v>65</v>
      </c>
      <c r="J90">
        <f>LOOKUP(I90,'Speed Percentiles'!$E$15:$F$17)</f>
        <v>20.492000000000019</v>
      </c>
      <c r="K90" s="6">
        <f t="shared" si="42"/>
        <v>4535.9085197969735</v>
      </c>
      <c r="L90" s="6">
        <f t="shared" si="43"/>
        <v>29.057599999999997</v>
      </c>
      <c r="M90" s="6">
        <f t="shared" si="44"/>
        <v>128.27624390927318</v>
      </c>
      <c r="N90" s="7">
        <f t="shared" si="45"/>
        <v>43.764331905910765</v>
      </c>
      <c r="O90" t="str">
        <f t="shared" si="46"/>
        <v>NO</v>
      </c>
      <c r="P90" t="str">
        <f t="shared" si="47"/>
        <v>NO</v>
      </c>
      <c r="Q90" s="5" t="str">
        <f t="shared" si="48"/>
        <v>NO</v>
      </c>
      <c r="R90" s="5" t="str">
        <f t="shared" si="49"/>
        <v>NO</v>
      </c>
      <c r="S90" s="5" t="str">
        <f t="shared" si="50"/>
        <v>NO</v>
      </c>
      <c r="T90" s="4" t="str">
        <f t="shared" si="51"/>
        <v>NO</v>
      </c>
    </row>
    <row r="91" spans="3:20" x14ac:dyDescent="0.25">
      <c r="C91" s="3">
        <f t="shared" si="39"/>
        <v>7.7094000000000024E-2</v>
      </c>
      <c r="D91" s="6">
        <v>10000</v>
      </c>
      <c r="E91" s="6">
        <v>25</v>
      </c>
      <c r="F91">
        <f>LOOKUP(E91,'Angle Percentile'!$E$3:$F$10)</f>
        <v>15</v>
      </c>
      <c r="G91">
        <f t="shared" si="40"/>
        <v>0.42261826174069944</v>
      </c>
      <c r="H91" s="6">
        <f t="shared" si="41"/>
        <v>0.43633231299858238</v>
      </c>
      <c r="I91" s="6">
        <v>45</v>
      </c>
      <c r="J91">
        <f>LOOKUP(I91,'Speed Percentiles'!$E$15:$F$17)</f>
        <v>51.396000000000015</v>
      </c>
      <c r="K91" s="6">
        <f t="shared" si="42"/>
        <v>4535.9085197969735</v>
      </c>
      <c r="L91" s="6">
        <f t="shared" si="43"/>
        <v>20.116800000000001</v>
      </c>
      <c r="M91" s="6">
        <f t="shared" si="44"/>
        <v>163.92628875376869</v>
      </c>
      <c r="N91" s="7">
        <f t="shared" si="45"/>
        <v>9999</v>
      </c>
      <c r="O91" t="str">
        <f t="shared" si="46"/>
        <v>NO</v>
      </c>
      <c r="P91" t="str">
        <f t="shared" si="47"/>
        <v>NO</v>
      </c>
      <c r="Q91" s="5" t="str">
        <f t="shared" si="48"/>
        <v>NO</v>
      </c>
      <c r="R91" s="5" t="str">
        <f t="shared" si="49"/>
        <v>NO</v>
      </c>
      <c r="S91" s="5" t="str">
        <f t="shared" si="50"/>
        <v>NO</v>
      </c>
      <c r="T91" s="4" t="str">
        <f t="shared" si="51"/>
        <v>NO</v>
      </c>
    </row>
    <row r="92" spans="3:20" x14ac:dyDescent="0.25">
      <c r="C92" s="3">
        <f t="shared" si="39"/>
        <v>9.3454400000000049E-2</v>
      </c>
      <c r="D92" s="6">
        <v>10000</v>
      </c>
      <c r="E92" s="6">
        <v>20</v>
      </c>
      <c r="F92">
        <f>LOOKUP(E92,'Angle Percentile'!$E$3:$F$10)</f>
        <v>26</v>
      </c>
      <c r="G92">
        <f t="shared" si="40"/>
        <v>0.34202014332566871</v>
      </c>
      <c r="H92" s="6">
        <f t="shared" si="41"/>
        <v>0.3490658503988659</v>
      </c>
      <c r="I92" s="6">
        <v>55</v>
      </c>
      <c r="J92">
        <f>LOOKUP(I92,'Speed Percentiles'!$E$15:$F$17)</f>
        <v>35.944000000000017</v>
      </c>
      <c r="K92" s="6">
        <f t="shared" si="42"/>
        <v>4535.9085197969735</v>
      </c>
      <c r="L92" s="6">
        <f t="shared" si="43"/>
        <v>24.587199999999999</v>
      </c>
      <c r="M92" s="6">
        <f t="shared" si="44"/>
        <v>160.38206783212641</v>
      </c>
      <c r="N92" s="7">
        <f t="shared" si="45"/>
        <v>9999</v>
      </c>
      <c r="O92" t="str">
        <f t="shared" si="46"/>
        <v>NO</v>
      </c>
      <c r="P92" t="str">
        <f t="shared" si="47"/>
        <v>NO</v>
      </c>
      <c r="Q92" s="5" t="str">
        <f t="shared" si="48"/>
        <v>NO</v>
      </c>
      <c r="R92" s="5" t="str">
        <f t="shared" si="49"/>
        <v>NO</v>
      </c>
      <c r="S92" s="5" t="str">
        <f t="shared" si="50"/>
        <v>NO</v>
      </c>
      <c r="T92" s="4" t="str">
        <f t="shared" si="51"/>
        <v>NO</v>
      </c>
    </row>
    <row r="93" spans="3:20" x14ac:dyDescent="0.25">
      <c r="C93" s="3">
        <f t="shared" si="39"/>
        <v>0.13729640000000015</v>
      </c>
      <c r="D93" s="6">
        <v>10000</v>
      </c>
      <c r="E93" s="6">
        <v>10</v>
      </c>
      <c r="F93">
        <f>LOOKUP(E93,'Angle Percentile'!$E$3:$F$10)</f>
        <v>67</v>
      </c>
      <c r="G93">
        <f t="shared" si="40"/>
        <v>0.17364817766693033</v>
      </c>
      <c r="H93" s="6">
        <f t="shared" si="41"/>
        <v>0.17453292519943295</v>
      </c>
      <c r="I93" s="6">
        <v>65</v>
      </c>
      <c r="J93">
        <f>LOOKUP(I93,'Speed Percentiles'!$E$15:$F$17)</f>
        <v>20.492000000000019</v>
      </c>
      <c r="K93" s="6">
        <f t="shared" si="42"/>
        <v>4535.9085197969735</v>
      </c>
      <c r="L93" s="6">
        <f t="shared" si="43"/>
        <v>29.057599999999997</v>
      </c>
      <c r="M93" s="6">
        <f t="shared" si="44"/>
        <v>57.742320590008227</v>
      </c>
      <c r="N93" s="7">
        <f t="shared" si="45"/>
        <v>24.933098859724179</v>
      </c>
      <c r="O93" t="str">
        <f t="shared" si="46"/>
        <v>NO</v>
      </c>
      <c r="P93" t="str">
        <f t="shared" si="47"/>
        <v>NO</v>
      </c>
      <c r="Q93" s="5" t="str">
        <f t="shared" si="48"/>
        <v>NO</v>
      </c>
      <c r="R93" s="5" t="str">
        <f t="shared" si="49"/>
        <v>NO</v>
      </c>
      <c r="S93" s="5" t="str">
        <f t="shared" si="50"/>
        <v>OK</v>
      </c>
      <c r="T93" s="4" t="str">
        <f t="shared" si="51"/>
        <v>OK</v>
      </c>
    </row>
    <row r="94" spans="3:20" x14ac:dyDescent="0.25">
      <c r="C94" s="3">
        <f t="shared" si="39"/>
        <v>0.13362960000000004</v>
      </c>
      <c r="D94" s="6">
        <v>10000</v>
      </c>
      <c r="E94" s="6">
        <v>20</v>
      </c>
      <c r="F94">
        <f>LOOKUP(E94,'Angle Percentile'!$E$3:$F$10)</f>
        <v>26</v>
      </c>
      <c r="G94">
        <f t="shared" si="40"/>
        <v>0.34202014332566871</v>
      </c>
      <c r="H94" s="6">
        <f t="shared" si="41"/>
        <v>0.3490658503988659</v>
      </c>
      <c r="I94" s="6">
        <v>45</v>
      </c>
      <c r="J94">
        <f>LOOKUP(I94,'Speed Percentiles'!$E$15:$F$17)</f>
        <v>51.396000000000015</v>
      </c>
      <c r="K94" s="6">
        <f t="shared" si="42"/>
        <v>4535.9085197969735</v>
      </c>
      <c r="L94" s="6">
        <f t="shared" si="43"/>
        <v>20.116800000000001</v>
      </c>
      <c r="M94" s="6">
        <f t="shared" si="44"/>
        <v>107.36320243307637</v>
      </c>
      <c r="N94" s="7">
        <f t="shared" si="45"/>
        <v>39.540506836002798</v>
      </c>
      <c r="O94" t="str">
        <f t="shared" si="46"/>
        <v>NO</v>
      </c>
      <c r="P94" t="str">
        <f t="shared" si="47"/>
        <v>NO</v>
      </c>
      <c r="Q94" s="5" t="str">
        <f t="shared" si="48"/>
        <v>NO</v>
      </c>
      <c r="R94" s="5" t="str">
        <f t="shared" si="49"/>
        <v>NO</v>
      </c>
      <c r="S94" s="5" t="str">
        <f t="shared" si="50"/>
        <v>NO</v>
      </c>
      <c r="T94" s="4" t="str">
        <f t="shared" si="51"/>
        <v>NO</v>
      </c>
    </row>
    <row r="95" spans="3:20" x14ac:dyDescent="0.25">
      <c r="C95" s="3">
        <f t="shared" si="39"/>
        <v>0.18442800000000015</v>
      </c>
      <c r="D95" s="6">
        <v>10000</v>
      </c>
      <c r="E95" s="6">
        <v>5</v>
      </c>
      <c r="F95">
        <f>LOOKUP(E95,'Angle Percentile'!$E$3:$F$10)</f>
        <v>90</v>
      </c>
      <c r="G95">
        <f t="shared" si="40"/>
        <v>8.7155742747658166E-2</v>
      </c>
      <c r="H95" s="6">
        <f t="shared" si="41"/>
        <v>8.7266462599716474E-2</v>
      </c>
      <c r="I95" s="6">
        <v>65</v>
      </c>
      <c r="J95">
        <f>LOOKUP(I95,'Speed Percentiles'!$E$15:$F$17)</f>
        <v>20.492000000000019</v>
      </c>
      <c r="K95" s="6">
        <f t="shared" si="42"/>
        <v>4535.9085197969735</v>
      </c>
      <c r="L95" s="6">
        <f t="shared" si="43"/>
        <v>29.057599999999997</v>
      </c>
      <c r="M95" s="6">
        <f t="shared" si="44"/>
        <v>14.546073921360048</v>
      </c>
      <c r="N95" s="7">
        <f t="shared" si="45"/>
        <v>7.0894055520509047</v>
      </c>
      <c r="O95" t="str">
        <f t="shared" si="46"/>
        <v>NO</v>
      </c>
      <c r="P95" t="str">
        <f t="shared" si="47"/>
        <v>OK</v>
      </c>
      <c r="Q95" s="5" t="str">
        <f t="shared" si="48"/>
        <v>OK</v>
      </c>
      <c r="R95" s="5" t="str">
        <f t="shared" si="49"/>
        <v>OK</v>
      </c>
      <c r="S95" s="5" t="str">
        <f t="shared" si="50"/>
        <v>OK</v>
      </c>
      <c r="T95" s="4" t="str">
        <f t="shared" si="51"/>
        <v>OK</v>
      </c>
    </row>
    <row r="96" spans="3:20" x14ac:dyDescent="0.25">
      <c r="C96" s="3">
        <f t="shared" si="39"/>
        <v>0.20082160000000018</v>
      </c>
      <c r="D96" s="6">
        <v>10000</v>
      </c>
      <c r="E96" s="6">
        <v>3</v>
      </c>
      <c r="F96">
        <f>LOOKUP(E96,'Angle Percentile'!$E$3:$F$10)</f>
        <v>98</v>
      </c>
      <c r="G96">
        <f t="shared" si="40"/>
        <v>5.2335956242943828E-2</v>
      </c>
      <c r="H96" s="6">
        <f t="shared" si="41"/>
        <v>5.2359877559829883E-2</v>
      </c>
      <c r="I96" s="6">
        <v>65</v>
      </c>
      <c r="J96">
        <f>LOOKUP(I96,'Speed Percentiles'!$E$15:$F$17)</f>
        <v>20.492000000000019</v>
      </c>
      <c r="K96" s="6">
        <f t="shared" si="42"/>
        <v>4535.9085197969735</v>
      </c>
      <c r="L96" s="6">
        <f t="shared" si="43"/>
        <v>29.057599999999997</v>
      </c>
      <c r="M96" s="6">
        <f t="shared" si="44"/>
        <v>5.2451039655999168</v>
      </c>
      <c r="N96" s="7">
        <f t="shared" si="45"/>
        <v>2.5645128145247575</v>
      </c>
      <c r="O96" t="str">
        <f t="shared" si="46"/>
        <v>OK</v>
      </c>
      <c r="P96" t="str">
        <f t="shared" si="47"/>
        <v>OK</v>
      </c>
      <c r="Q96" s="5" t="str">
        <f t="shared" si="48"/>
        <v>OK</v>
      </c>
      <c r="R96" s="5" t="str">
        <f t="shared" si="49"/>
        <v>OK</v>
      </c>
      <c r="S96" s="5" t="str">
        <f t="shared" si="50"/>
        <v>OK</v>
      </c>
      <c r="T96" s="4" t="str">
        <f t="shared" si="51"/>
        <v>OK</v>
      </c>
    </row>
    <row r="97" spans="3:20" x14ac:dyDescent="0.25">
      <c r="C97" s="3">
        <f t="shared" si="39"/>
        <v>0.15815360000000006</v>
      </c>
      <c r="D97" s="6">
        <v>10000</v>
      </c>
      <c r="E97" s="6">
        <v>15</v>
      </c>
      <c r="F97">
        <f>LOOKUP(E97,'Angle Percentile'!$E$3:$F$10)</f>
        <v>44</v>
      </c>
      <c r="G97">
        <f t="shared" si="40"/>
        <v>0.25881904510252074</v>
      </c>
      <c r="H97" s="6">
        <f t="shared" si="41"/>
        <v>0.26179938779914941</v>
      </c>
      <c r="I97" s="6">
        <v>55</v>
      </c>
      <c r="J97">
        <f>LOOKUP(I97,'Speed Percentiles'!$E$15:$F$17)</f>
        <v>35.944000000000017</v>
      </c>
      <c r="K97" s="6">
        <f t="shared" si="42"/>
        <v>4535.9085197969735</v>
      </c>
      <c r="L97" s="6">
        <f t="shared" si="43"/>
        <v>24.587199999999999</v>
      </c>
      <c r="M97" s="6">
        <f t="shared" si="44"/>
        <v>91.842754514923385</v>
      </c>
      <c r="N97" s="7">
        <f t="shared" si="45"/>
        <v>35.656119293581078</v>
      </c>
      <c r="O97" t="str">
        <f t="shared" si="46"/>
        <v>NO</v>
      </c>
      <c r="P97" t="str">
        <f t="shared" si="47"/>
        <v>NO</v>
      </c>
      <c r="Q97" s="5" t="str">
        <f t="shared" si="48"/>
        <v>NO</v>
      </c>
      <c r="R97" s="5" t="str">
        <f t="shared" si="49"/>
        <v>NO</v>
      </c>
      <c r="S97" s="5" t="str">
        <f t="shared" si="50"/>
        <v>NO</v>
      </c>
      <c r="T97" s="4" t="str">
        <f t="shared" si="51"/>
        <v>NO</v>
      </c>
    </row>
    <row r="98" spans="3:20" x14ac:dyDescent="0.25">
      <c r="C98" s="3">
        <f t="shared" si="39"/>
        <v>0.22614240000000005</v>
      </c>
      <c r="D98" s="6">
        <v>10000</v>
      </c>
      <c r="E98" s="6">
        <v>15</v>
      </c>
      <c r="F98">
        <f>LOOKUP(E98,'Angle Percentile'!$E$3:$F$10)</f>
        <v>44</v>
      </c>
      <c r="G98">
        <f t="shared" si="40"/>
        <v>0.25881904510252074</v>
      </c>
      <c r="H98" s="6">
        <f t="shared" si="41"/>
        <v>0.26179938779914941</v>
      </c>
      <c r="I98" s="6">
        <v>45</v>
      </c>
      <c r="J98">
        <f>LOOKUP(I98,'Speed Percentiles'!$E$15:$F$17)</f>
        <v>51.396000000000015</v>
      </c>
      <c r="K98" s="6">
        <f t="shared" si="42"/>
        <v>4535.9085197969735</v>
      </c>
      <c r="L98" s="6">
        <f t="shared" si="43"/>
        <v>20.116800000000001</v>
      </c>
      <c r="M98" s="6">
        <f t="shared" si="44"/>
        <v>61.481513352965258</v>
      </c>
      <c r="N98" s="7">
        <f t="shared" si="45"/>
        <v>26.23260878330635</v>
      </c>
      <c r="O98" t="str">
        <f t="shared" si="46"/>
        <v>NO</v>
      </c>
      <c r="P98" t="str">
        <f t="shared" si="47"/>
        <v>NO</v>
      </c>
      <c r="Q98" s="5" t="str">
        <f t="shared" si="48"/>
        <v>NO</v>
      </c>
      <c r="R98" s="5" t="str">
        <f t="shared" si="49"/>
        <v>NO</v>
      </c>
      <c r="S98" s="5" t="str">
        <f t="shared" si="50"/>
        <v>OK</v>
      </c>
      <c r="T98" s="4" t="str">
        <f t="shared" si="51"/>
        <v>OK</v>
      </c>
    </row>
    <row r="99" spans="3:20" x14ac:dyDescent="0.25">
      <c r="C99" s="3">
        <f t="shared" si="39"/>
        <v>0.24082480000000012</v>
      </c>
      <c r="D99" s="6">
        <v>10000</v>
      </c>
      <c r="E99" s="6">
        <v>10</v>
      </c>
      <c r="F99">
        <f>LOOKUP(E99,'Angle Percentile'!$E$3:$F$10)</f>
        <v>67</v>
      </c>
      <c r="G99">
        <f t="shared" si="40"/>
        <v>0.17364817766693033</v>
      </c>
      <c r="H99" s="6">
        <f t="shared" si="41"/>
        <v>0.17453292519943295</v>
      </c>
      <c r="I99" s="6">
        <v>55</v>
      </c>
      <c r="J99">
        <f>LOOKUP(I99,'Speed Percentiles'!$E$15:$F$17)</f>
        <v>35.944000000000017</v>
      </c>
      <c r="K99" s="6">
        <f t="shared" si="42"/>
        <v>4535.9085197969735</v>
      </c>
      <c r="L99" s="6">
        <f t="shared" si="43"/>
        <v>24.587199999999999</v>
      </c>
      <c r="M99" s="6">
        <f t="shared" si="44"/>
        <v>41.342134860301762</v>
      </c>
      <c r="N99" s="7">
        <f t="shared" si="45"/>
        <v>18.701804509033295</v>
      </c>
      <c r="O99" t="str">
        <f t="shared" si="46"/>
        <v>NO</v>
      </c>
      <c r="P99" t="str">
        <f t="shared" si="47"/>
        <v>NO</v>
      </c>
      <c r="Q99" s="5" t="str">
        <f t="shared" si="48"/>
        <v>NO</v>
      </c>
      <c r="R99" s="5" t="str">
        <f t="shared" si="49"/>
        <v>OK</v>
      </c>
      <c r="S99" s="5" t="str">
        <f t="shared" si="50"/>
        <v>OK</v>
      </c>
      <c r="T99" s="4" t="str">
        <f t="shared" si="51"/>
        <v>OK</v>
      </c>
    </row>
    <row r="100" spans="3:20" x14ac:dyDescent="0.25">
      <c r="C100" s="3">
        <f t="shared" si="39"/>
        <v>0.32349600000000017</v>
      </c>
      <c r="D100" s="6">
        <v>10000</v>
      </c>
      <c r="E100" s="6">
        <v>5</v>
      </c>
      <c r="F100">
        <f>LOOKUP(E100,'Angle Percentile'!$E$3:$F$10)</f>
        <v>90</v>
      </c>
      <c r="G100">
        <f t="shared" si="40"/>
        <v>8.7155742747658166E-2</v>
      </c>
      <c r="H100" s="6">
        <f t="shared" si="41"/>
        <v>8.7266462599716474E-2</v>
      </c>
      <c r="I100" s="6">
        <v>55</v>
      </c>
      <c r="J100">
        <f>LOOKUP(I100,'Speed Percentiles'!$E$15:$F$17)</f>
        <v>35.944000000000017</v>
      </c>
      <c r="K100" s="6">
        <f t="shared" si="42"/>
        <v>4535.9085197969735</v>
      </c>
      <c r="L100" s="6">
        <f t="shared" si="43"/>
        <v>24.587199999999999</v>
      </c>
      <c r="M100" s="6">
        <f t="shared" si="44"/>
        <v>10.414644641920507</v>
      </c>
      <c r="N100" s="7">
        <f t="shared" si="45"/>
        <v>5.0906394780956177</v>
      </c>
      <c r="O100" t="str">
        <f t="shared" si="46"/>
        <v>NO</v>
      </c>
      <c r="P100" t="str">
        <f t="shared" si="47"/>
        <v>OK</v>
      </c>
      <c r="Q100" s="5" t="str">
        <f t="shared" si="48"/>
        <v>OK</v>
      </c>
      <c r="R100" s="5" t="str">
        <f t="shared" si="49"/>
        <v>OK</v>
      </c>
      <c r="S100" s="5" t="str">
        <f t="shared" si="50"/>
        <v>OK</v>
      </c>
      <c r="T100" s="4" t="str">
        <f t="shared" si="51"/>
        <v>OK</v>
      </c>
    </row>
    <row r="101" spans="3:20" x14ac:dyDescent="0.25">
      <c r="C101" s="3">
        <f t="shared" si="39"/>
        <v>0.34435320000000014</v>
      </c>
      <c r="D101" s="6">
        <v>10000</v>
      </c>
      <c r="E101" s="6">
        <v>10</v>
      </c>
      <c r="F101">
        <f>LOOKUP(E101,'Angle Percentile'!$E$3:$F$10)</f>
        <v>67</v>
      </c>
      <c r="G101">
        <f t="shared" si="40"/>
        <v>0.17364817766693033</v>
      </c>
      <c r="H101" s="6">
        <f t="shared" si="41"/>
        <v>0.17453292519943295</v>
      </c>
      <c r="I101" s="6">
        <v>45</v>
      </c>
      <c r="J101">
        <f>LOOKUP(I101,'Speed Percentiles'!$E$15:$F$17)</f>
        <v>51.396000000000015</v>
      </c>
      <c r="K101" s="6">
        <f t="shared" si="42"/>
        <v>4535.9085197969735</v>
      </c>
      <c r="L101" s="6">
        <f t="shared" si="43"/>
        <v>20.116800000000001</v>
      </c>
      <c r="M101" s="6">
        <f t="shared" si="44"/>
        <v>27.675313418879689</v>
      </c>
      <c r="N101" s="7">
        <f t="shared" si="45"/>
        <v>13.059059216790882</v>
      </c>
      <c r="O101" t="str">
        <f t="shared" si="46"/>
        <v>NO</v>
      </c>
      <c r="P101" t="str">
        <f t="shared" si="47"/>
        <v>NO</v>
      </c>
      <c r="Q101" s="5" t="str">
        <f t="shared" si="48"/>
        <v>OK</v>
      </c>
      <c r="R101" s="5" t="str">
        <f t="shared" si="49"/>
        <v>OK</v>
      </c>
      <c r="S101" s="5" t="str">
        <f t="shared" si="50"/>
        <v>OK</v>
      </c>
      <c r="T101" s="4" t="str">
        <f t="shared" si="51"/>
        <v>OK</v>
      </c>
    </row>
    <row r="102" spans="3:20" x14ac:dyDescent="0.25">
      <c r="C102" s="3">
        <f t="shared" si="39"/>
        <v>0.35225120000000021</v>
      </c>
      <c r="D102" s="6">
        <v>10000</v>
      </c>
      <c r="E102" s="6">
        <v>3</v>
      </c>
      <c r="F102">
        <f>LOOKUP(E102,'Angle Percentile'!$E$3:$F$10)</f>
        <v>98</v>
      </c>
      <c r="G102">
        <f t="shared" si="40"/>
        <v>5.2335956242943828E-2</v>
      </c>
      <c r="H102" s="6">
        <f t="shared" si="41"/>
        <v>5.2359877559829883E-2</v>
      </c>
      <c r="I102" s="6">
        <v>55</v>
      </c>
      <c r="J102">
        <f>LOOKUP(I102,'Speed Percentiles'!$E$15:$F$17)</f>
        <v>35.944000000000017</v>
      </c>
      <c r="K102" s="6">
        <f t="shared" si="42"/>
        <v>4535.9085197969735</v>
      </c>
      <c r="L102" s="6">
        <f t="shared" si="43"/>
        <v>24.587199999999999</v>
      </c>
      <c r="M102" s="6">
        <f t="shared" si="44"/>
        <v>3.755370294896982</v>
      </c>
      <c r="N102" s="7">
        <f t="shared" si="45"/>
        <v>1.8077281098076667</v>
      </c>
      <c r="O102" t="str">
        <f t="shared" si="46"/>
        <v>OK</v>
      </c>
      <c r="P102" t="str">
        <f t="shared" si="47"/>
        <v>OK</v>
      </c>
      <c r="Q102" s="5" t="str">
        <f t="shared" si="48"/>
        <v>OK</v>
      </c>
      <c r="R102" s="5" t="str">
        <f t="shared" si="49"/>
        <v>OK</v>
      </c>
      <c r="S102" s="5" t="str">
        <f t="shared" si="50"/>
        <v>OK</v>
      </c>
      <c r="T102" s="4" t="str">
        <f t="shared" si="51"/>
        <v>OK</v>
      </c>
    </row>
    <row r="103" spans="3:20" x14ac:dyDescent="0.25">
      <c r="C103" s="3">
        <f t="shared" si="39"/>
        <v>0.46256400000000014</v>
      </c>
      <c r="D103" s="6">
        <v>10000</v>
      </c>
      <c r="E103" s="6">
        <v>5</v>
      </c>
      <c r="F103">
        <f>LOOKUP(E103,'Angle Percentile'!$E$3:$F$10)</f>
        <v>90</v>
      </c>
      <c r="G103">
        <f t="shared" si="40"/>
        <v>8.7155742747658166E-2</v>
      </c>
      <c r="H103" s="6">
        <f t="shared" si="41"/>
        <v>8.7266462599716474E-2</v>
      </c>
      <c r="I103" s="6">
        <v>45</v>
      </c>
      <c r="J103">
        <f>LOOKUP(I103,'Speed Percentiles'!$E$15:$F$17)</f>
        <v>51.396000000000015</v>
      </c>
      <c r="K103" s="6">
        <f t="shared" si="42"/>
        <v>4535.9085197969735</v>
      </c>
      <c r="L103" s="6">
        <f t="shared" si="43"/>
        <v>20.116800000000001</v>
      </c>
      <c r="M103" s="6">
        <f t="shared" si="44"/>
        <v>6.9717869090542264</v>
      </c>
      <c r="N103" s="7">
        <f t="shared" si="45"/>
        <v>3.4416677497995471</v>
      </c>
      <c r="O103" t="str">
        <f t="shared" si="46"/>
        <v>OK</v>
      </c>
      <c r="P103" t="str">
        <f t="shared" si="47"/>
        <v>OK</v>
      </c>
      <c r="Q103" s="5" t="str">
        <f t="shared" si="48"/>
        <v>OK</v>
      </c>
      <c r="R103" s="5" t="str">
        <f t="shared" si="49"/>
        <v>OK</v>
      </c>
      <c r="S103" s="5" t="str">
        <f t="shared" si="50"/>
        <v>OK</v>
      </c>
      <c r="T103" s="4" t="str">
        <f t="shared" si="51"/>
        <v>OK</v>
      </c>
    </row>
    <row r="104" spans="3:20" x14ac:dyDescent="0.25">
      <c r="C104" s="3">
        <f t="shared" si="39"/>
        <v>0.50368080000000015</v>
      </c>
      <c r="D104" s="6">
        <v>10000</v>
      </c>
      <c r="E104" s="6">
        <v>3</v>
      </c>
      <c r="F104">
        <f>LOOKUP(E104,'Angle Percentile'!$E$3:$F$10)</f>
        <v>98</v>
      </c>
      <c r="G104">
        <f t="shared" si="40"/>
        <v>5.2335956242943828E-2</v>
      </c>
      <c r="H104" s="6">
        <f t="shared" si="41"/>
        <v>5.2359877559829883E-2</v>
      </c>
      <c r="I104" s="6">
        <v>45</v>
      </c>
      <c r="J104">
        <f>LOOKUP(I104,'Speed Percentiles'!$E$15:$F$17)</f>
        <v>51.396000000000015</v>
      </c>
      <c r="K104" s="6">
        <f t="shared" si="42"/>
        <v>4535.9085197969735</v>
      </c>
      <c r="L104" s="6">
        <f t="shared" si="43"/>
        <v>20.116800000000001</v>
      </c>
      <c r="M104" s="6">
        <f t="shared" si="44"/>
        <v>2.513925569311203</v>
      </c>
      <c r="N104" s="7">
        <f t="shared" si="45"/>
        <v>1.1770741892100911</v>
      </c>
      <c r="O104" t="str">
        <f t="shared" si="46"/>
        <v>OK</v>
      </c>
      <c r="P104" t="str">
        <f t="shared" si="47"/>
        <v>OK</v>
      </c>
      <c r="Q104" s="5" t="str">
        <f t="shared" si="48"/>
        <v>OK</v>
      </c>
      <c r="R104" s="5" t="str">
        <f t="shared" si="49"/>
        <v>OK</v>
      </c>
      <c r="S104" s="5" t="str">
        <f t="shared" si="50"/>
        <v>OK</v>
      </c>
      <c r="T104" s="4" t="str">
        <f t="shared" si="51"/>
        <v>OK</v>
      </c>
    </row>
    <row r="105" spans="3:20" x14ac:dyDescent="0.25">
      <c r="C105" s="3">
        <f t="shared" si="39"/>
        <v>3.0738000000000026E-2</v>
      </c>
      <c r="D105" s="6">
        <v>15000</v>
      </c>
      <c r="E105" s="6">
        <v>25</v>
      </c>
      <c r="F105">
        <f>LOOKUP(E105,'Angle Percentile'!$E$3:$F$10)</f>
        <v>15</v>
      </c>
      <c r="G105">
        <f t="shared" si="40"/>
        <v>0.42261826174069944</v>
      </c>
      <c r="H105" s="6">
        <f t="shared" si="41"/>
        <v>0.43633231299858238</v>
      </c>
      <c r="I105" s="6">
        <v>65</v>
      </c>
      <c r="J105">
        <f>LOOKUP(I105,'Speed Percentiles'!$E$15:$F$17)</f>
        <v>20.492000000000019</v>
      </c>
      <c r="K105" s="6">
        <f t="shared" si="42"/>
        <v>6803.8627796954597</v>
      </c>
      <c r="L105" s="6">
        <f t="shared" si="43"/>
        <v>29.057599999999997</v>
      </c>
      <c r="M105" s="6">
        <f t="shared" si="44"/>
        <v>513.02857035901661</v>
      </c>
      <c r="N105" s="7">
        <f t="shared" si="45"/>
        <v>9999</v>
      </c>
      <c r="O105" t="str">
        <f t="shared" si="46"/>
        <v>NO</v>
      </c>
      <c r="P105" t="str">
        <f t="shared" si="47"/>
        <v>NO</v>
      </c>
      <c r="Q105" s="5" t="str">
        <f t="shared" si="48"/>
        <v>NO</v>
      </c>
      <c r="R105" s="5" t="str">
        <f t="shared" si="49"/>
        <v>NO</v>
      </c>
      <c r="S105" s="5" t="str">
        <f t="shared" si="50"/>
        <v>NO</v>
      </c>
      <c r="T105" s="4" t="str">
        <f t="shared" si="51"/>
        <v>NO</v>
      </c>
    </row>
    <row r="106" spans="3:20" x14ac:dyDescent="0.25">
      <c r="C106" s="3">
        <f t="shared" si="39"/>
        <v>5.3279200000000054E-2</v>
      </c>
      <c r="D106" s="6">
        <v>15000</v>
      </c>
      <c r="E106" s="6">
        <v>20</v>
      </c>
      <c r="F106">
        <f>LOOKUP(E106,'Angle Percentile'!$E$3:$F$10)</f>
        <v>26</v>
      </c>
      <c r="G106">
        <f t="shared" si="40"/>
        <v>0.34202014332566871</v>
      </c>
      <c r="H106" s="6">
        <f t="shared" si="41"/>
        <v>0.3490658503988659</v>
      </c>
      <c r="I106" s="6">
        <v>65</v>
      </c>
      <c r="J106">
        <f>LOOKUP(I106,'Speed Percentiles'!$E$15:$F$17)</f>
        <v>20.492000000000019</v>
      </c>
      <c r="K106" s="6">
        <f t="shared" si="42"/>
        <v>6803.8627796954597</v>
      </c>
      <c r="L106" s="6">
        <f t="shared" si="43"/>
        <v>29.057599999999997</v>
      </c>
      <c r="M106" s="6">
        <f t="shared" si="44"/>
        <v>336.00705946647952</v>
      </c>
      <c r="N106" s="7">
        <f t="shared" si="45"/>
        <v>9999</v>
      </c>
      <c r="O106" t="str">
        <f t="shared" si="46"/>
        <v>NO</v>
      </c>
      <c r="P106" t="str">
        <f t="shared" si="47"/>
        <v>NO</v>
      </c>
      <c r="Q106" s="5" t="str">
        <f t="shared" si="48"/>
        <v>NO</v>
      </c>
      <c r="R106" s="5" t="str">
        <f t="shared" si="49"/>
        <v>NO</v>
      </c>
      <c r="S106" s="5" t="str">
        <f t="shared" si="50"/>
        <v>NO</v>
      </c>
      <c r="T106" s="4" t="str">
        <f t="shared" si="51"/>
        <v>NO</v>
      </c>
    </row>
    <row r="107" spans="3:20" x14ac:dyDescent="0.25">
      <c r="C107" s="3">
        <f t="shared" si="39"/>
        <v>5.3916000000000019E-2</v>
      </c>
      <c r="D107" s="6">
        <v>15000</v>
      </c>
      <c r="E107" s="6">
        <v>25</v>
      </c>
      <c r="F107">
        <f>LOOKUP(E107,'Angle Percentile'!$E$3:$F$10)</f>
        <v>15</v>
      </c>
      <c r="G107">
        <f t="shared" si="40"/>
        <v>0.42261826174069944</v>
      </c>
      <c r="H107" s="6">
        <f t="shared" si="41"/>
        <v>0.43633231299858238</v>
      </c>
      <c r="I107" s="6">
        <v>55</v>
      </c>
      <c r="J107">
        <f>LOOKUP(I107,'Speed Percentiles'!$E$15:$F$17)</f>
        <v>35.944000000000017</v>
      </c>
      <c r="K107" s="6">
        <f t="shared" si="42"/>
        <v>6803.8627796954597</v>
      </c>
      <c r="L107" s="6">
        <f t="shared" si="43"/>
        <v>24.587199999999999</v>
      </c>
      <c r="M107" s="6">
        <f t="shared" si="44"/>
        <v>367.31631368900014</v>
      </c>
      <c r="N107" s="7">
        <f t="shared" si="45"/>
        <v>9999</v>
      </c>
      <c r="O107" t="str">
        <f t="shared" si="46"/>
        <v>NO</v>
      </c>
      <c r="P107" t="str">
        <f t="shared" si="47"/>
        <v>NO</v>
      </c>
      <c r="Q107" s="5" t="str">
        <f t="shared" si="48"/>
        <v>NO</v>
      </c>
      <c r="R107" s="5" t="str">
        <f t="shared" si="49"/>
        <v>NO</v>
      </c>
      <c r="S107" s="5" t="str">
        <f t="shared" si="50"/>
        <v>NO</v>
      </c>
      <c r="T107" s="4" t="str">
        <f t="shared" si="51"/>
        <v>NO</v>
      </c>
    </row>
    <row r="108" spans="3:20" x14ac:dyDescent="0.25">
      <c r="C108" s="3">
        <f t="shared" si="39"/>
        <v>9.0164800000000087E-2</v>
      </c>
      <c r="D108" s="6">
        <v>15000</v>
      </c>
      <c r="E108" s="6">
        <v>15</v>
      </c>
      <c r="F108">
        <f>LOOKUP(E108,'Angle Percentile'!$E$3:$F$10)</f>
        <v>44</v>
      </c>
      <c r="G108">
        <f t="shared" si="40"/>
        <v>0.25881904510252074</v>
      </c>
      <c r="H108" s="6">
        <f t="shared" si="41"/>
        <v>0.26179938779914941</v>
      </c>
      <c r="I108" s="6">
        <v>65</v>
      </c>
      <c r="J108">
        <f>LOOKUP(I108,'Speed Percentiles'!$E$15:$F$17)</f>
        <v>20.492000000000019</v>
      </c>
      <c r="K108" s="6">
        <f t="shared" si="42"/>
        <v>6803.8627796954597</v>
      </c>
      <c r="L108" s="6">
        <f t="shared" si="43"/>
        <v>29.057599999999997</v>
      </c>
      <c r="M108" s="6">
        <f t="shared" si="44"/>
        <v>192.41436586390978</v>
      </c>
      <c r="N108" s="7">
        <f t="shared" si="45"/>
        <v>9999</v>
      </c>
      <c r="O108" t="str">
        <f t="shared" si="46"/>
        <v>NO</v>
      </c>
      <c r="P108" t="str">
        <f t="shared" si="47"/>
        <v>NO</v>
      </c>
      <c r="Q108" s="5" t="str">
        <f t="shared" si="48"/>
        <v>NO</v>
      </c>
      <c r="R108" s="5" t="str">
        <f t="shared" si="49"/>
        <v>NO</v>
      </c>
      <c r="S108" s="5" t="str">
        <f t="shared" si="50"/>
        <v>NO</v>
      </c>
      <c r="T108" s="4" t="str">
        <f t="shared" si="51"/>
        <v>NO</v>
      </c>
    </row>
    <row r="109" spans="3:20" x14ac:dyDescent="0.25">
      <c r="C109" s="3">
        <f t="shared" si="39"/>
        <v>7.7094000000000024E-2</v>
      </c>
      <c r="D109" s="6">
        <v>15000</v>
      </c>
      <c r="E109" s="6">
        <v>25</v>
      </c>
      <c r="F109">
        <f>LOOKUP(E109,'Angle Percentile'!$E$3:$F$10)</f>
        <v>15</v>
      </c>
      <c r="G109">
        <f t="shared" si="40"/>
        <v>0.42261826174069944</v>
      </c>
      <c r="H109" s="6">
        <f t="shared" si="41"/>
        <v>0.43633231299858238</v>
      </c>
      <c r="I109" s="6">
        <v>45</v>
      </c>
      <c r="J109">
        <f>LOOKUP(I109,'Speed Percentiles'!$E$15:$F$17)</f>
        <v>51.396000000000015</v>
      </c>
      <c r="K109" s="6">
        <f t="shared" si="42"/>
        <v>6803.8627796954597</v>
      </c>
      <c r="L109" s="6">
        <f t="shared" si="43"/>
        <v>20.116800000000001</v>
      </c>
      <c r="M109" s="6">
        <f t="shared" si="44"/>
        <v>245.88943313065303</v>
      </c>
      <c r="N109" s="7">
        <f t="shared" si="45"/>
        <v>9999</v>
      </c>
      <c r="O109" t="str">
        <f t="shared" si="46"/>
        <v>NO</v>
      </c>
      <c r="P109" t="str">
        <f t="shared" si="47"/>
        <v>NO</v>
      </c>
      <c r="Q109" s="5" t="str">
        <f t="shared" si="48"/>
        <v>NO</v>
      </c>
      <c r="R109" s="5" t="str">
        <f t="shared" si="49"/>
        <v>NO</v>
      </c>
      <c r="S109" s="5" t="str">
        <f t="shared" si="50"/>
        <v>NO</v>
      </c>
      <c r="T109" s="4" t="str">
        <f t="shared" si="51"/>
        <v>NO</v>
      </c>
    </row>
    <row r="110" spans="3:20" x14ac:dyDescent="0.25">
      <c r="C110" s="3">
        <f t="shared" si="39"/>
        <v>9.3454400000000049E-2</v>
      </c>
      <c r="D110" s="6">
        <v>15000</v>
      </c>
      <c r="E110" s="6">
        <v>20</v>
      </c>
      <c r="F110">
        <f>LOOKUP(E110,'Angle Percentile'!$E$3:$F$10)</f>
        <v>26</v>
      </c>
      <c r="G110">
        <f t="shared" si="40"/>
        <v>0.34202014332566871</v>
      </c>
      <c r="H110" s="6">
        <f t="shared" si="41"/>
        <v>0.3490658503988659</v>
      </c>
      <c r="I110" s="6">
        <v>55</v>
      </c>
      <c r="J110">
        <f>LOOKUP(I110,'Speed Percentiles'!$E$15:$F$17)</f>
        <v>35.944000000000017</v>
      </c>
      <c r="K110" s="6">
        <f t="shared" si="42"/>
        <v>6803.8627796954597</v>
      </c>
      <c r="L110" s="6">
        <f t="shared" si="43"/>
        <v>24.587199999999999</v>
      </c>
      <c r="M110" s="6">
        <f t="shared" si="44"/>
        <v>240.5731017481896</v>
      </c>
      <c r="N110" s="7">
        <f t="shared" si="45"/>
        <v>9999</v>
      </c>
      <c r="O110" t="str">
        <f t="shared" si="46"/>
        <v>NO</v>
      </c>
      <c r="P110" t="str">
        <f t="shared" si="47"/>
        <v>NO</v>
      </c>
      <c r="Q110" s="5" t="str">
        <f t="shared" si="48"/>
        <v>NO</v>
      </c>
      <c r="R110" s="5" t="str">
        <f t="shared" si="49"/>
        <v>NO</v>
      </c>
      <c r="S110" s="5" t="str">
        <f t="shared" si="50"/>
        <v>NO</v>
      </c>
      <c r="T110" s="4" t="str">
        <f t="shared" si="51"/>
        <v>NO</v>
      </c>
    </row>
    <row r="111" spans="3:20" x14ac:dyDescent="0.25">
      <c r="C111" s="3">
        <f t="shared" si="39"/>
        <v>0.13729640000000015</v>
      </c>
      <c r="D111" s="6">
        <v>15000</v>
      </c>
      <c r="E111" s="6">
        <v>10</v>
      </c>
      <c r="F111">
        <f>LOOKUP(E111,'Angle Percentile'!$E$3:$F$10)</f>
        <v>67</v>
      </c>
      <c r="G111">
        <f t="shared" si="40"/>
        <v>0.17364817766693033</v>
      </c>
      <c r="H111" s="6">
        <f t="shared" ref="H111:H142" si="52">E111*PI()/180</f>
        <v>0.17453292519943295</v>
      </c>
      <c r="I111" s="6">
        <v>65</v>
      </c>
      <c r="J111">
        <f>LOOKUP(I111,'Speed Percentiles'!$E$15:$F$17)</f>
        <v>20.492000000000019</v>
      </c>
      <c r="K111" s="6">
        <f t="shared" ref="K111:K142" si="53">D111/2.20463</f>
        <v>6803.8627796954597</v>
      </c>
      <c r="L111" s="6">
        <f t="shared" ref="L111:L142" si="54">(I111/3600)*(5280*0.3048)</f>
        <v>29.057599999999997</v>
      </c>
      <c r="M111" s="6">
        <f t="shared" ref="M111:M142" si="55">(0.5*(K111)*((SIN(H111))*L111)^2)/1000</f>
        <v>86.613480885012336</v>
      </c>
      <c r="N111" s="7">
        <f t="shared" ref="N111:N142" si="56">IF(M111&lt;150,ROUNDUP(-0.0013*(M111^2),1)+(0.508*M111),9999)</f>
        <v>34.199648289586271</v>
      </c>
      <c r="O111" t="str">
        <f t="shared" ref="O111:O142" si="57">IF($N111+6&lt;11, "OK","NO")</f>
        <v>NO</v>
      </c>
      <c r="P111" t="str">
        <f t="shared" ref="P111:P142" si="58">IF($N111+6&lt;17, "OK","NO")</f>
        <v>NO</v>
      </c>
      <c r="Q111" s="5" t="str">
        <f t="shared" ref="Q111:Q142" si="59">IF($N111+6&lt;23, "OK","NO")</f>
        <v>NO</v>
      </c>
      <c r="R111" s="5" t="str">
        <f t="shared" ref="R111:R142" si="60">IF($N111+6&lt;29, "OK","NO")</f>
        <v>NO</v>
      </c>
      <c r="S111" s="5" t="str">
        <f t="shared" ref="S111:S142" si="61">IF($N111+6&lt;35, "OK","NO")</f>
        <v>NO</v>
      </c>
      <c r="T111" s="4" t="str">
        <f t="shared" ref="T111:T142" si="62">IF($N111+6&lt;41, "OK","NO")</f>
        <v>OK</v>
      </c>
    </row>
    <row r="112" spans="3:20" x14ac:dyDescent="0.25">
      <c r="C112" s="3">
        <f t="shared" si="39"/>
        <v>0.13362960000000004</v>
      </c>
      <c r="D112" s="6">
        <v>15000</v>
      </c>
      <c r="E112" s="6">
        <v>20</v>
      </c>
      <c r="F112">
        <f>LOOKUP(E112,'Angle Percentile'!$E$3:$F$10)</f>
        <v>26</v>
      </c>
      <c r="G112">
        <f t="shared" si="40"/>
        <v>0.34202014332566871</v>
      </c>
      <c r="H112" s="6">
        <f t="shared" si="52"/>
        <v>0.3490658503988659</v>
      </c>
      <c r="I112" s="6">
        <v>45</v>
      </c>
      <c r="J112">
        <f>LOOKUP(I112,'Speed Percentiles'!$E$15:$F$17)</f>
        <v>51.396000000000015</v>
      </c>
      <c r="K112" s="6">
        <f t="shared" si="53"/>
        <v>6803.8627796954597</v>
      </c>
      <c r="L112" s="6">
        <f t="shared" si="54"/>
        <v>20.116800000000001</v>
      </c>
      <c r="M112" s="6">
        <f t="shared" si="55"/>
        <v>161.04480364961452</v>
      </c>
      <c r="N112" s="7">
        <f t="shared" si="56"/>
        <v>9999</v>
      </c>
      <c r="O112" t="str">
        <f t="shared" si="57"/>
        <v>NO</v>
      </c>
      <c r="P112" t="str">
        <f t="shared" si="58"/>
        <v>NO</v>
      </c>
      <c r="Q112" s="5" t="str">
        <f t="shared" si="59"/>
        <v>NO</v>
      </c>
      <c r="R112" s="5" t="str">
        <f t="shared" si="60"/>
        <v>NO</v>
      </c>
      <c r="S112" s="5" t="str">
        <f t="shared" si="61"/>
        <v>NO</v>
      </c>
      <c r="T112" s="4" t="str">
        <f t="shared" si="62"/>
        <v>NO</v>
      </c>
    </row>
    <row r="113" spans="3:20" x14ac:dyDescent="0.25">
      <c r="C113" s="3">
        <f t="shared" si="39"/>
        <v>0.18442800000000015</v>
      </c>
      <c r="D113" s="6">
        <v>15000</v>
      </c>
      <c r="E113" s="6">
        <v>5</v>
      </c>
      <c r="F113">
        <f>LOOKUP(E113,'Angle Percentile'!$E$3:$F$10)</f>
        <v>90</v>
      </c>
      <c r="G113">
        <f t="shared" si="40"/>
        <v>8.7155742747658166E-2</v>
      </c>
      <c r="H113" s="6">
        <f t="shared" si="52"/>
        <v>8.7266462599716474E-2</v>
      </c>
      <c r="I113" s="6">
        <v>65</v>
      </c>
      <c r="J113">
        <f>LOOKUP(I113,'Speed Percentiles'!$E$15:$F$17)</f>
        <v>20.492000000000019</v>
      </c>
      <c r="K113" s="6">
        <f t="shared" si="53"/>
        <v>6803.8627796954597</v>
      </c>
      <c r="L113" s="6">
        <f t="shared" si="54"/>
        <v>29.057599999999997</v>
      </c>
      <c r="M113" s="6">
        <f t="shared" si="55"/>
        <v>21.819110882040068</v>
      </c>
      <c r="N113" s="7">
        <f t="shared" si="56"/>
        <v>10.384108328076355</v>
      </c>
      <c r="O113" t="str">
        <f t="shared" si="57"/>
        <v>NO</v>
      </c>
      <c r="P113" t="str">
        <f t="shared" si="58"/>
        <v>OK</v>
      </c>
      <c r="Q113" s="5" t="str">
        <f t="shared" si="59"/>
        <v>OK</v>
      </c>
      <c r="R113" s="5" t="str">
        <f t="shared" si="60"/>
        <v>OK</v>
      </c>
      <c r="S113" s="5" t="str">
        <f t="shared" si="61"/>
        <v>OK</v>
      </c>
      <c r="T113" s="4" t="str">
        <f t="shared" si="62"/>
        <v>OK</v>
      </c>
    </row>
    <row r="114" spans="3:20" x14ac:dyDescent="0.25">
      <c r="C114" s="3">
        <f t="shared" si="39"/>
        <v>0.20082160000000018</v>
      </c>
      <c r="D114" s="6">
        <v>15000</v>
      </c>
      <c r="E114" s="6">
        <v>3</v>
      </c>
      <c r="F114">
        <f>LOOKUP(E114,'Angle Percentile'!$E$3:$F$10)</f>
        <v>98</v>
      </c>
      <c r="G114">
        <f t="shared" si="40"/>
        <v>5.2335956242943828E-2</v>
      </c>
      <c r="H114" s="6">
        <f t="shared" si="52"/>
        <v>5.2359877559829883E-2</v>
      </c>
      <c r="I114" s="6">
        <v>65</v>
      </c>
      <c r="J114">
        <f>LOOKUP(I114,'Speed Percentiles'!$E$15:$F$17)</f>
        <v>20.492000000000019</v>
      </c>
      <c r="K114" s="6">
        <f t="shared" si="53"/>
        <v>6803.8627796954597</v>
      </c>
      <c r="L114" s="6">
        <f t="shared" si="54"/>
        <v>29.057599999999997</v>
      </c>
      <c r="M114" s="6">
        <f t="shared" si="55"/>
        <v>7.8676559483998743</v>
      </c>
      <c r="N114" s="7">
        <f t="shared" si="56"/>
        <v>3.8967692217871361</v>
      </c>
      <c r="O114" t="str">
        <f t="shared" si="57"/>
        <v>OK</v>
      </c>
      <c r="P114" t="str">
        <f t="shared" si="58"/>
        <v>OK</v>
      </c>
      <c r="Q114" s="5" t="str">
        <f t="shared" si="59"/>
        <v>OK</v>
      </c>
      <c r="R114" s="5" t="str">
        <f t="shared" si="60"/>
        <v>OK</v>
      </c>
      <c r="S114" s="5" t="str">
        <f t="shared" si="61"/>
        <v>OK</v>
      </c>
      <c r="T114" s="4" t="str">
        <f t="shared" si="62"/>
        <v>OK</v>
      </c>
    </row>
    <row r="115" spans="3:20" x14ac:dyDescent="0.25">
      <c r="C115" s="3">
        <f t="shared" si="39"/>
        <v>0.15815360000000006</v>
      </c>
      <c r="D115" s="6">
        <v>15000</v>
      </c>
      <c r="E115" s="6">
        <v>15</v>
      </c>
      <c r="F115">
        <f>LOOKUP(E115,'Angle Percentile'!$E$3:$F$10)</f>
        <v>44</v>
      </c>
      <c r="G115">
        <f t="shared" si="40"/>
        <v>0.25881904510252074</v>
      </c>
      <c r="H115" s="6">
        <f t="shared" si="52"/>
        <v>0.26179938779914941</v>
      </c>
      <c r="I115" s="6">
        <v>55</v>
      </c>
      <c r="J115">
        <f>LOOKUP(I115,'Speed Percentiles'!$E$15:$F$17)</f>
        <v>35.944000000000017</v>
      </c>
      <c r="K115" s="6">
        <f t="shared" si="53"/>
        <v>6803.8627796954597</v>
      </c>
      <c r="L115" s="6">
        <f t="shared" si="54"/>
        <v>24.587199999999999</v>
      </c>
      <c r="M115" s="6">
        <f t="shared" si="55"/>
        <v>137.76413177238507</v>
      </c>
      <c r="N115" s="7">
        <f t="shared" si="56"/>
        <v>45.284178940371618</v>
      </c>
      <c r="O115" t="str">
        <f t="shared" si="57"/>
        <v>NO</v>
      </c>
      <c r="P115" t="str">
        <f t="shared" si="58"/>
        <v>NO</v>
      </c>
      <c r="Q115" s="5" t="str">
        <f t="shared" si="59"/>
        <v>NO</v>
      </c>
      <c r="R115" s="5" t="str">
        <f t="shared" si="60"/>
        <v>NO</v>
      </c>
      <c r="S115" s="5" t="str">
        <f t="shared" si="61"/>
        <v>NO</v>
      </c>
      <c r="T115" s="4" t="str">
        <f t="shared" si="62"/>
        <v>NO</v>
      </c>
    </row>
    <row r="116" spans="3:20" x14ac:dyDescent="0.25">
      <c r="C116" s="3">
        <f t="shared" si="39"/>
        <v>0.22614240000000005</v>
      </c>
      <c r="D116" s="6">
        <v>15000</v>
      </c>
      <c r="E116" s="6">
        <v>15</v>
      </c>
      <c r="F116">
        <f>LOOKUP(E116,'Angle Percentile'!$E$3:$F$10)</f>
        <v>44</v>
      </c>
      <c r="G116">
        <f t="shared" si="40"/>
        <v>0.25881904510252074</v>
      </c>
      <c r="H116" s="6">
        <f t="shared" si="52"/>
        <v>0.26179938779914941</v>
      </c>
      <c r="I116" s="6">
        <v>45</v>
      </c>
      <c r="J116">
        <f>LOOKUP(I116,'Speed Percentiles'!$E$15:$F$17)</f>
        <v>51.396000000000015</v>
      </c>
      <c r="K116" s="6">
        <f t="shared" si="53"/>
        <v>6803.8627796954597</v>
      </c>
      <c r="L116" s="6">
        <f t="shared" si="54"/>
        <v>20.116800000000001</v>
      </c>
      <c r="M116" s="6">
        <f t="shared" si="55"/>
        <v>92.222270029447884</v>
      </c>
      <c r="N116" s="7">
        <f t="shared" si="56"/>
        <v>35.748913174959526</v>
      </c>
      <c r="O116" t="str">
        <f t="shared" si="57"/>
        <v>NO</v>
      </c>
      <c r="P116" t="str">
        <f t="shared" si="58"/>
        <v>NO</v>
      </c>
      <c r="Q116" s="5" t="str">
        <f t="shared" si="59"/>
        <v>NO</v>
      </c>
      <c r="R116" s="5" t="str">
        <f t="shared" si="60"/>
        <v>NO</v>
      </c>
      <c r="S116" s="5" t="str">
        <f t="shared" si="61"/>
        <v>NO</v>
      </c>
      <c r="T116" s="4" t="str">
        <f t="shared" si="62"/>
        <v>NO</v>
      </c>
    </row>
    <row r="117" spans="3:20" x14ac:dyDescent="0.25">
      <c r="C117" s="3">
        <f t="shared" si="39"/>
        <v>0.24082480000000012</v>
      </c>
      <c r="D117" s="6">
        <v>15000</v>
      </c>
      <c r="E117" s="6">
        <v>10</v>
      </c>
      <c r="F117">
        <f>LOOKUP(E117,'Angle Percentile'!$E$3:$F$10)</f>
        <v>67</v>
      </c>
      <c r="G117">
        <f t="shared" si="40"/>
        <v>0.17364817766693033</v>
      </c>
      <c r="H117" s="6">
        <f t="shared" si="52"/>
        <v>0.17453292519943295</v>
      </c>
      <c r="I117" s="6">
        <v>55</v>
      </c>
      <c r="J117">
        <f>LOOKUP(I117,'Speed Percentiles'!$E$15:$F$17)</f>
        <v>35.944000000000017</v>
      </c>
      <c r="K117" s="6">
        <f t="shared" si="53"/>
        <v>6803.8627796954597</v>
      </c>
      <c r="L117" s="6">
        <f t="shared" si="54"/>
        <v>24.587199999999999</v>
      </c>
      <c r="M117" s="6">
        <f t="shared" si="55"/>
        <v>62.013202290452639</v>
      </c>
      <c r="N117" s="7">
        <f t="shared" si="56"/>
        <v>26.502706763549941</v>
      </c>
      <c r="O117" t="str">
        <f t="shared" si="57"/>
        <v>NO</v>
      </c>
      <c r="P117" t="str">
        <f t="shared" si="58"/>
        <v>NO</v>
      </c>
      <c r="Q117" s="5" t="str">
        <f t="shared" si="59"/>
        <v>NO</v>
      </c>
      <c r="R117" s="5" t="str">
        <f t="shared" si="60"/>
        <v>NO</v>
      </c>
      <c r="S117" s="5" t="str">
        <f t="shared" si="61"/>
        <v>OK</v>
      </c>
      <c r="T117" s="4" t="str">
        <f t="shared" si="62"/>
        <v>OK</v>
      </c>
    </row>
    <row r="118" spans="3:20" x14ac:dyDescent="0.25">
      <c r="C118" s="3">
        <f t="shared" si="39"/>
        <v>0.32349600000000017</v>
      </c>
      <c r="D118" s="6">
        <v>15000</v>
      </c>
      <c r="E118" s="6">
        <v>5</v>
      </c>
      <c r="F118">
        <f>LOOKUP(E118,'Angle Percentile'!$E$3:$F$10)</f>
        <v>90</v>
      </c>
      <c r="G118">
        <f t="shared" si="40"/>
        <v>8.7155742747658166E-2</v>
      </c>
      <c r="H118" s="6">
        <f t="shared" si="52"/>
        <v>8.7266462599716474E-2</v>
      </c>
      <c r="I118" s="6">
        <v>55</v>
      </c>
      <c r="J118">
        <f>LOOKUP(I118,'Speed Percentiles'!$E$15:$F$17)</f>
        <v>35.944000000000017</v>
      </c>
      <c r="K118" s="6">
        <f t="shared" si="53"/>
        <v>6803.8627796954597</v>
      </c>
      <c r="L118" s="6">
        <f t="shared" si="54"/>
        <v>24.587199999999999</v>
      </c>
      <c r="M118" s="6">
        <f t="shared" si="55"/>
        <v>15.62196696288076</v>
      </c>
      <c r="N118" s="7">
        <f t="shared" si="56"/>
        <v>7.535959217143426</v>
      </c>
      <c r="O118" t="str">
        <f t="shared" si="57"/>
        <v>NO</v>
      </c>
      <c r="P118" t="str">
        <f t="shared" si="58"/>
        <v>OK</v>
      </c>
      <c r="Q118" s="5" t="str">
        <f t="shared" si="59"/>
        <v>OK</v>
      </c>
      <c r="R118" s="5" t="str">
        <f t="shared" si="60"/>
        <v>OK</v>
      </c>
      <c r="S118" s="5" t="str">
        <f t="shared" si="61"/>
        <v>OK</v>
      </c>
      <c r="T118" s="4" t="str">
        <f t="shared" si="62"/>
        <v>OK</v>
      </c>
    </row>
    <row r="119" spans="3:20" x14ac:dyDescent="0.25">
      <c r="C119" s="3">
        <f t="shared" si="39"/>
        <v>0.34435320000000014</v>
      </c>
      <c r="D119" s="6">
        <v>15000</v>
      </c>
      <c r="E119" s="6">
        <v>10</v>
      </c>
      <c r="F119">
        <f>LOOKUP(E119,'Angle Percentile'!$E$3:$F$10)</f>
        <v>67</v>
      </c>
      <c r="G119">
        <f t="shared" si="40"/>
        <v>0.17364817766693033</v>
      </c>
      <c r="H119" s="6">
        <f t="shared" si="52"/>
        <v>0.17453292519943295</v>
      </c>
      <c r="I119" s="6">
        <v>45</v>
      </c>
      <c r="J119">
        <f>LOOKUP(I119,'Speed Percentiles'!$E$15:$F$17)</f>
        <v>51.396000000000015</v>
      </c>
      <c r="K119" s="6">
        <f t="shared" si="53"/>
        <v>6803.8627796954597</v>
      </c>
      <c r="L119" s="6">
        <f t="shared" si="54"/>
        <v>20.116800000000001</v>
      </c>
      <c r="M119" s="6">
        <f t="shared" si="55"/>
        <v>41.51297012831953</v>
      </c>
      <c r="N119" s="7">
        <f t="shared" si="56"/>
        <v>18.78858882518632</v>
      </c>
      <c r="O119" t="str">
        <f t="shared" si="57"/>
        <v>NO</v>
      </c>
      <c r="P119" t="str">
        <f t="shared" si="58"/>
        <v>NO</v>
      </c>
      <c r="Q119" s="5" t="str">
        <f t="shared" si="59"/>
        <v>NO</v>
      </c>
      <c r="R119" s="5" t="str">
        <f t="shared" si="60"/>
        <v>OK</v>
      </c>
      <c r="S119" s="5" t="str">
        <f t="shared" si="61"/>
        <v>OK</v>
      </c>
      <c r="T119" s="4" t="str">
        <f t="shared" si="62"/>
        <v>OK</v>
      </c>
    </row>
    <row r="120" spans="3:20" x14ac:dyDescent="0.25">
      <c r="C120" s="3">
        <f t="shared" si="39"/>
        <v>0.35225120000000021</v>
      </c>
      <c r="D120" s="6">
        <v>15000</v>
      </c>
      <c r="E120" s="6">
        <v>3</v>
      </c>
      <c r="F120">
        <f>LOOKUP(E120,'Angle Percentile'!$E$3:$F$10)</f>
        <v>98</v>
      </c>
      <c r="G120">
        <f t="shared" si="40"/>
        <v>5.2335956242943828E-2</v>
      </c>
      <c r="H120" s="6">
        <f t="shared" si="52"/>
        <v>5.2359877559829883E-2</v>
      </c>
      <c r="I120" s="6">
        <v>55</v>
      </c>
      <c r="J120">
        <f>LOOKUP(I120,'Speed Percentiles'!$E$15:$F$17)</f>
        <v>35.944000000000017</v>
      </c>
      <c r="K120" s="6">
        <f t="shared" si="53"/>
        <v>6803.8627796954597</v>
      </c>
      <c r="L120" s="6">
        <f t="shared" si="54"/>
        <v>24.587199999999999</v>
      </c>
      <c r="M120" s="6">
        <f t="shared" si="55"/>
        <v>5.633055442345472</v>
      </c>
      <c r="N120" s="7">
        <f t="shared" si="56"/>
        <v>2.7615921647114998</v>
      </c>
      <c r="O120" t="str">
        <f t="shared" si="57"/>
        <v>OK</v>
      </c>
      <c r="P120" t="str">
        <f t="shared" si="58"/>
        <v>OK</v>
      </c>
      <c r="Q120" s="5" t="str">
        <f t="shared" si="59"/>
        <v>OK</v>
      </c>
      <c r="R120" s="5" t="str">
        <f t="shared" si="60"/>
        <v>OK</v>
      </c>
      <c r="S120" s="5" t="str">
        <f t="shared" si="61"/>
        <v>OK</v>
      </c>
      <c r="T120" s="4" t="str">
        <f t="shared" si="62"/>
        <v>OK</v>
      </c>
    </row>
    <row r="121" spans="3:20" x14ac:dyDescent="0.25">
      <c r="C121" s="3">
        <f t="shared" si="39"/>
        <v>0.46256400000000014</v>
      </c>
      <c r="D121" s="6">
        <v>15000</v>
      </c>
      <c r="E121" s="6">
        <v>5</v>
      </c>
      <c r="F121">
        <f>LOOKUP(E121,'Angle Percentile'!$E$3:$F$10)</f>
        <v>90</v>
      </c>
      <c r="G121">
        <f t="shared" si="40"/>
        <v>8.7155742747658166E-2</v>
      </c>
      <c r="H121" s="6">
        <f t="shared" si="52"/>
        <v>8.7266462599716474E-2</v>
      </c>
      <c r="I121" s="6">
        <v>45</v>
      </c>
      <c r="J121">
        <f>LOOKUP(I121,'Speed Percentiles'!$E$15:$F$17)</f>
        <v>51.396000000000015</v>
      </c>
      <c r="K121" s="6">
        <f t="shared" si="53"/>
        <v>6803.8627796954597</v>
      </c>
      <c r="L121" s="6">
        <f t="shared" si="54"/>
        <v>20.116800000000001</v>
      </c>
      <c r="M121" s="6">
        <f t="shared" si="55"/>
        <v>10.457680363581339</v>
      </c>
      <c r="N121" s="7">
        <f t="shared" si="56"/>
        <v>5.1125016246993198</v>
      </c>
      <c r="O121" t="str">
        <f t="shared" si="57"/>
        <v>NO</v>
      </c>
      <c r="P121" t="str">
        <f t="shared" si="58"/>
        <v>OK</v>
      </c>
      <c r="Q121" s="5" t="str">
        <f t="shared" si="59"/>
        <v>OK</v>
      </c>
      <c r="R121" s="5" t="str">
        <f t="shared" si="60"/>
        <v>OK</v>
      </c>
      <c r="S121" s="5" t="str">
        <f t="shared" si="61"/>
        <v>OK</v>
      </c>
      <c r="T121" s="4" t="str">
        <f t="shared" si="62"/>
        <v>OK</v>
      </c>
    </row>
    <row r="122" spans="3:20" x14ac:dyDescent="0.25">
      <c r="C122" s="3">
        <f t="shared" si="39"/>
        <v>0.50368080000000015</v>
      </c>
      <c r="D122" s="6">
        <v>15000</v>
      </c>
      <c r="E122" s="6">
        <v>3</v>
      </c>
      <c r="F122">
        <f>LOOKUP(E122,'Angle Percentile'!$E$3:$F$10)</f>
        <v>98</v>
      </c>
      <c r="G122">
        <f t="shared" si="40"/>
        <v>5.2335956242943828E-2</v>
      </c>
      <c r="H122" s="6">
        <f t="shared" si="52"/>
        <v>5.2359877559829883E-2</v>
      </c>
      <c r="I122" s="6">
        <v>45</v>
      </c>
      <c r="J122">
        <f>LOOKUP(I122,'Speed Percentiles'!$E$15:$F$17)</f>
        <v>51.396000000000015</v>
      </c>
      <c r="K122" s="6">
        <f t="shared" si="53"/>
        <v>6803.8627796954597</v>
      </c>
      <c r="L122" s="6">
        <f t="shared" si="54"/>
        <v>20.116800000000001</v>
      </c>
      <c r="M122" s="6">
        <f t="shared" si="55"/>
        <v>3.7708883539668046</v>
      </c>
      <c r="N122" s="7">
        <f t="shared" si="56"/>
        <v>1.8156112838151366</v>
      </c>
      <c r="O122" t="str">
        <f t="shared" si="57"/>
        <v>OK</v>
      </c>
      <c r="P122" t="str">
        <f t="shared" si="58"/>
        <v>OK</v>
      </c>
      <c r="Q122" s="5" t="str">
        <f t="shared" si="59"/>
        <v>OK</v>
      </c>
      <c r="R122" s="5" t="str">
        <f t="shared" si="60"/>
        <v>OK</v>
      </c>
      <c r="S122" s="5" t="str">
        <f t="shared" si="61"/>
        <v>OK</v>
      </c>
      <c r="T122" s="4" t="str">
        <f t="shared" si="62"/>
        <v>OK</v>
      </c>
    </row>
    <row r="123" spans="3:20" x14ac:dyDescent="0.25">
      <c r="C123" s="3">
        <f t="shared" si="39"/>
        <v>9.0164800000000087E-2</v>
      </c>
      <c r="D123" s="6">
        <v>22000</v>
      </c>
      <c r="E123" s="6">
        <v>15</v>
      </c>
      <c r="F123">
        <f>LOOKUP(E123,'Angle Percentile'!$E$3:$F$10)</f>
        <v>44</v>
      </c>
      <c r="G123">
        <f t="shared" si="40"/>
        <v>0.25881904510252074</v>
      </c>
      <c r="H123" s="6">
        <f t="shared" si="52"/>
        <v>0.26179938779914941</v>
      </c>
      <c r="I123" s="6">
        <v>65</v>
      </c>
      <c r="J123">
        <f>LOOKUP(I123,'Speed Percentiles'!$E$15:$F$17)</f>
        <v>20.492000000000019</v>
      </c>
      <c r="K123" s="6">
        <f t="shared" si="53"/>
        <v>9978.9987435533403</v>
      </c>
      <c r="L123" s="6">
        <f t="shared" si="54"/>
        <v>29.057599999999997</v>
      </c>
      <c r="M123" s="6">
        <f t="shared" si="55"/>
        <v>282.20773660040101</v>
      </c>
      <c r="N123" s="7">
        <f t="shared" si="56"/>
        <v>9999</v>
      </c>
      <c r="O123" t="str">
        <f t="shared" si="57"/>
        <v>NO</v>
      </c>
      <c r="P123" t="str">
        <f t="shared" si="58"/>
        <v>NO</v>
      </c>
      <c r="Q123" s="5" t="str">
        <f t="shared" si="59"/>
        <v>NO</v>
      </c>
      <c r="R123" s="5" t="str">
        <f t="shared" si="60"/>
        <v>NO</v>
      </c>
      <c r="S123" s="5" t="str">
        <f t="shared" si="61"/>
        <v>NO</v>
      </c>
      <c r="T123" s="4" t="str">
        <f t="shared" si="62"/>
        <v>NO</v>
      </c>
    </row>
    <row r="124" spans="3:20" x14ac:dyDescent="0.25">
      <c r="C124" s="3">
        <f t="shared" si="39"/>
        <v>0.13729640000000015</v>
      </c>
      <c r="D124" s="6">
        <v>22000</v>
      </c>
      <c r="E124" s="6">
        <v>10</v>
      </c>
      <c r="F124">
        <f>LOOKUP(E124,'Angle Percentile'!$E$3:$F$10)</f>
        <v>67</v>
      </c>
      <c r="G124">
        <f t="shared" si="40"/>
        <v>0.17364817766693033</v>
      </c>
      <c r="H124" s="6">
        <f t="shared" si="52"/>
        <v>0.17453292519943295</v>
      </c>
      <c r="I124" s="6">
        <v>65</v>
      </c>
      <c r="J124">
        <f>LOOKUP(I124,'Speed Percentiles'!$E$15:$F$17)</f>
        <v>20.492000000000019</v>
      </c>
      <c r="K124" s="6">
        <f t="shared" si="53"/>
        <v>9978.9987435533403</v>
      </c>
      <c r="L124" s="6">
        <f t="shared" si="54"/>
        <v>29.057599999999997</v>
      </c>
      <c r="M124" s="6">
        <f t="shared" si="55"/>
        <v>127.03310529801809</v>
      </c>
      <c r="N124" s="7">
        <f t="shared" si="56"/>
        <v>43.532817491393189</v>
      </c>
      <c r="O124" t="str">
        <f t="shared" si="57"/>
        <v>NO</v>
      </c>
      <c r="P124" t="str">
        <f t="shared" si="58"/>
        <v>NO</v>
      </c>
      <c r="Q124" s="5" t="str">
        <f t="shared" si="59"/>
        <v>NO</v>
      </c>
      <c r="R124" s="5" t="str">
        <f t="shared" si="60"/>
        <v>NO</v>
      </c>
      <c r="S124" s="5" t="str">
        <f t="shared" si="61"/>
        <v>NO</v>
      </c>
      <c r="T124" s="4" t="str">
        <f t="shared" si="62"/>
        <v>NO</v>
      </c>
    </row>
    <row r="125" spans="3:20" x14ac:dyDescent="0.25">
      <c r="C125" s="3">
        <f t="shared" si="39"/>
        <v>0.18442800000000015</v>
      </c>
      <c r="D125" s="6">
        <v>22000</v>
      </c>
      <c r="E125" s="6">
        <v>5</v>
      </c>
      <c r="F125">
        <f>LOOKUP(E125,'Angle Percentile'!$E$3:$F$10)</f>
        <v>90</v>
      </c>
      <c r="G125">
        <f t="shared" si="40"/>
        <v>8.7155742747658166E-2</v>
      </c>
      <c r="H125" s="6">
        <f t="shared" si="52"/>
        <v>8.7266462599716474E-2</v>
      </c>
      <c r="I125" s="6">
        <v>65</v>
      </c>
      <c r="J125">
        <f>LOOKUP(I125,'Speed Percentiles'!$E$15:$F$17)</f>
        <v>20.492000000000019</v>
      </c>
      <c r="K125" s="6">
        <f t="shared" si="53"/>
        <v>9978.9987435533403</v>
      </c>
      <c r="L125" s="6">
        <f t="shared" si="54"/>
        <v>29.057599999999997</v>
      </c>
      <c r="M125" s="6">
        <f t="shared" si="55"/>
        <v>32.001362626992098</v>
      </c>
      <c r="N125" s="7">
        <f t="shared" si="56"/>
        <v>14.856692214511986</v>
      </c>
      <c r="O125" t="str">
        <f t="shared" si="57"/>
        <v>NO</v>
      </c>
      <c r="P125" t="str">
        <f t="shared" si="58"/>
        <v>NO</v>
      </c>
      <c r="Q125" s="5" t="str">
        <f t="shared" si="59"/>
        <v>OK</v>
      </c>
      <c r="R125" s="5" t="str">
        <f t="shared" si="60"/>
        <v>OK</v>
      </c>
      <c r="S125" s="5" t="str">
        <f t="shared" si="61"/>
        <v>OK</v>
      </c>
      <c r="T125" s="4" t="str">
        <f t="shared" si="62"/>
        <v>OK</v>
      </c>
    </row>
    <row r="126" spans="3:20" x14ac:dyDescent="0.25">
      <c r="C126" s="3">
        <f t="shared" si="39"/>
        <v>0.20082160000000018</v>
      </c>
      <c r="D126" s="6">
        <v>22000</v>
      </c>
      <c r="E126" s="6">
        <v>3</v>
      </c>
      <c r="F126">
        <f>LOOKUP(E126,'Angle Percentile'!$E$3:$F$10)</f>
        <v>98</v>
      </c>
      <c r="G126">
        <f t="shared" si="40"/>
        <v>5.2335956242943828E-2</v>
      </c>
      <c r="H126" s="6">
        <f t="shared" si="52"/>
        <v>5.2359877559829883E-2</v>
      </c>
      <c r="I126" s="6">
        <v>65</v>
      </c>
      <c r="J126">
        <f>LOOKUP(I126,'Speed Percentiles'!$E$15:$F$17)</f>
        <v>20.492000000000019</v>
      </c>
      <c r="K126" s="6">
        <f t="shared" si="53"/>
        <v>9978.9987435533403</v>
      </c>
      <c r="L126" s="6">
        <f t="shared" si="54"/>
        <v>29.057599999999997</v>
      </c>
      <c r="M126" s="6">
        <f t="shared" si="55"/>
        <v>11.539228724319814</v>
      </c>
      <c r="N126" s="7">
        <f t="shared" si="56"/>
        <v>5.6619281919544653</v>
      </c>
      <c r="O126" t="str">
        <f t="shared" si="57"/>
        <v>NO</v>
      </c>
      <c r="P126" t="str">
        <f t="shared" si="58"/>
        <v>OK</v>
      </c>
      <c r="Q126" s="5" t="str">
        <f t="shared" si="59"/>
        <v>OK</v>
      </c>
      <c r="R126" s="5" t="str">
        <f t="shared" si="60"/>
        <v>OK</v>
      </c>
      <c r="S126" s="5" t="str">
        <f t="shared" si="61"/>
        <v>OK</v>
      </c>
      <c r="T126" s="4" t="str">
        <f t="shared" si="62"/>
        <v>OK</v>
      </c>
    </row>
    <row r="127" spans="3:20" x14ac:dyDescent="0.25">
      <c r="C127" s="3">
        <f t="shared" si="39"/>
        <v>0.15815360000000006</v>
      </c>
      <c r="D127" s="6">
        <v>22000</v>
      </c>
      <c r="E127" s="6">
        <v>15</v>
      </c>
      <c r="F127">
        <f>LOOKUP(E127,'Angle Percentile'!$E$3:$F$10)</f>
        <v>44</v>
      </c>
      <c r="G127">
        <f t="shared" si="40"/>
        <v>0.25881904510252074</v>
      </c>
      <c r="H127" s="6">
        <f t="shared" si="52"/>
        <v>0.26179938779914941</v>
      </c>
      <c r="I127" s="6">
        <v>55</v>
      </c>
      <c r="J127">
        <f>LOOKUP(I127,'Speed Percentiles'!$E$15:$F$17)</f>
        <v>35.944000000000017</v>
      </c>
      <c r="K127" s="6">
        <f t="shared" si="53"/>
        <v>9978.9987435533403</v>
      </c>
      <c r="L127" s="6">
        <f t="shared" si="54"/>
        <v>24.587199999999999</v>
      </c>
      <c r="M127" s="6">
        <f t="shared" si="55"/>
        <v>202.05405993283142</v>
      </c>
      <c r="N127" s="7">
        <f t="shared" si="56"/>
        <v>9999</v>
      </c>
      <c r="O127" t="str">
        <f t="shared" si="57"/>
        <v>NO</v>
      </c>
      <c r="P127" t="str">
        <f t="shared" si="58"/>
        <v>NO</v>
      </c>
      <c r="Q127" s="5" t="str">
        <f t="shared" si="59"/>
        <v>NO</v>
      </c>
      <c r="R127" s="5" t="str">
        <f t="shared" si="60"/>
        <v>NO</v>
      </c>
      <c r="S127" s="5" t="str">
        <f t="shared" si="61"/>
        <v>NO</v>
      </c>
      <c r="T127" s="4" t="str">
        <f t="shared" si="62"/>
        <v>NO</v>
      </c>
    </row>
    <row r="128" spans="3:20" x14ac:dyDescent="0.25">
      <c r="C128" s="3">
        <f t="shared" si="39"/>
        <v>0.22614240000000005</v>
      </c>
      <c r="D128" s="6">
        <v>22000</v>
      </c>
      <c r="E128" s="6">
        <v>15</v>
      </c>
      <c r="F128">
        <f>LOOKUP(E128,'Angle Percentile'!$E$3:$F$10)</f>
        <v>44</v>
      </c>
      <c r="G128">
        <f t="shared" si="40"/>
        <v>0.25881904510252074</v>
      </c>
      <c r="H128" s="6">
        <f t="shared" si="52"/>
        <v>0.26179938779914941</v>
      </c>
      <c r="I128" s="6">
        <v>45</v>
      </c>
      <c r="J128">
        <f>LOOKUP(I128,'Speed Percentiles'!$E$15:$F$17)</f>
        <v>51.396000000000015</v>
      </c>
      <c r="K128" s="6">
        <f t="shared" si="53"/>
        <v>9978.9987435533403</v>
      </c>
      <c r="L128" s="6">
        <f t="shared" si="54"/>
        <v>20.116800000000001</v>
      </c>
      <c r="M128" s="6">
        <f t="shared" si="55"/>
        <v>135.25932937652357</v>
      </c>
      <c r="N128" s="7">
        <f t="shared" si="56"/>
        <v>44.911739323273977</v>
      </c>
      <c r="O128" t="str">
        <f t="shared" si="57"/>
        <v>NO</v>
      </c>
      <c r="P128" t="str">
        <f t="shared" si="58"/>
        <v>NO</v>
      </c>
      <c r="Q128" s="5" t="str">
        <f t="shared" si="59"/>
        <v>NO</v>
      </c>
      <c r="R128" s="5" t="str">
        <f t="shared" si="60"/>
        <v>NO</v>
      </c>
      <c r="S128" s="5" t="str">
        <f t="shared" si="61"/>
        <v>NO</v>
      </c>
      <c r="T128" s="4" t="str">
        <f t="shared" si="62"/>
        <v>NO</v>
      </c>
    </row>
    <row r="129" spans="3:20" x14ac:dyDescent="0.25">
      <c r="C129" s="3">
        <f t="shared" si="39"/>
        <v>0.24082480000000012</v>
      </c>
      <c r="D129" s="6">
        <v>22000</v>
      </c>
      <c r="E129" s="6">
        <v>10</v>
      </c>
      <c r="F129">
        <f>LOOKUP(E129,'Angle Percentile'!$E$3:$F$10)</f>
        <v>67</v>
      </c>
      <c r="G129">
        <f t="shared" si="40"/>
        <v>0.17364817766693033</v>
      </c>
      <c r="H129" s="6">
        <f t="shared" si="52"/>
        <v>0.17453292519943295</v>
      </c>
      <c r="I129" s="6">
        <v>55</v>
      </c>
      <c r="J129">
        <f>LOOKUP(I129,'Speed Percentiles'!$E$15:$F$17)</f>
        <v>35.944000000000017</v>
      </c>
      <c r="K129" s="6">
        <f t="shared" si="53"/>
        <v>9978.9987435533403</v>
      </c>
      <c r="L129" s="6">
        <f t="shared" si="54"/>
        <v>24.587199999999999</v>
      </c>
      <c r="M129" s="6">
        <f t="shared" si="55"/>
        <v>90.952696692663849</v>
      </c>
      <c r="N129" s="7">
        <f t="shared" si="56"/>
        <v>35.403969919873241</v>
      </c>
      <c r="O129" t="str">
        <f t="shared" si="57"/>
        <v>NO</v>
      </c>
      <c r="P129" t="str">
        <f t="shared" si="58"/>
        <v>NO</v>
      </c>
      <c r="Q129" s="5" t="str">
        <f t="shared" si="59"/>
        <v>NO</v>
      </c>
      <c r="R129" s="5" t="str">
        <f t="shared" si="60"/>
        <v>NO</v>
      </c>
      <c r="S129" s="5" t="str">
        <f t="shared" si="61"/>
        <v>NO</v>
      </c>
      <c r="T129" s="4" t="str">
        <f t="shared" si="62"/>
        <v>NO</v>
      </c>
    </row>
    <row r="130" spans="3:20" x14ac:dyDescent="0.25">
      <c r="C130" s="3">
        <f t="shared" si="39"/>
        <v>0.32349600000000017</v>
      </c>
      <c r="D130" s="6">
        <v>22000</v>
      </c>
      <c r="E130" s="6">
        <v>5</v>
      </c>
      <c r="F130">
        <f>LOOKUP(E130,'Angle Percentile'!$E$3:$F$10)</f>
        <v>90</v>
      </c>
      <c r="G130">
        <f t="shared" si="40"/>
        <v>8.7155742747658166E-2</v>
      </c>
      <c r="H130" s="6">
        <f t="shared" si="52"/>
        <v>8.7266462599716474E-2</v>
      </c>
      <c r="I130" s="6">
        <v>55</v>
      </c>
      <c r="J130">
        <f>LOOKUP(I130,'Speed Percentiles'!$E$15:$F$17)</f>
        <v>35.944000000000017</v>
      </c>
      <c r="K130" s="6">
        <f t="shared" si="53"/>
        <v>9978.9987435533403</v>
      </c>
      <c r="L130" s="6">
        <f t="shared" si="54"/>
        <v>24.587199999999999</v>
      </c>
      <c r="M130" s="6">
        <f t="shared" si="55"/>
        <v>22.912218212225113</v>
      </c>
      <c r="N130" s="7">
        <f t="shared" si="56"/>
        <v>10.939406851810359</v>
      </c>
      <c r="O130" t="str">
        <f t="shared" si="57"/>
        <v>NO</v>
      </c>
      <c r="P130" t="str">
        <f t="shared" si="58"/>
        <v>OK</v>
      </c>
      <c r="Q130" s="5" t="str">
        <f t="shared" si="59"/>
        <v>OK</v>
      </c>
      <c r="R130" s="5" t="str">
        <f t="shared" si="60"/>
        <v>OK</v>
      </c>
      <c r="S130" s="5" t="str">
        <f t="shared" si="61"/>
        <v>OK</v>
      </c>
      <c r="T130" s="4" t="str">
        <f t="shared" si="62"/>
        <v>OK</v>
      </c>
    </row>
    <row r="131" spans="3:20" x14ac:dyDescent="0.25">
      <c r="C131" s="3">
        <f t="shared" si="39"/>
        <v>0.34435320000000014</v>
      </c>
      <c r="D131" s="6">
        <v>22000</v>
      </c>
      <c r="E131" s="6">
        <v>10</v>
      </c>
      <c r="F131">
        <f>LOOKUP(E131,'Angle Percentile'!$E$3:$F$10)</f>
        <v>67</v>
      </c>
      <c r="G131">
        <f t="shared" si="40"/>
        <v>0.17364817766693033</v>
      </c>
      <c r="H131" s="6">
        <f t="shared" si="52"/>
        <v>0.17453292519943295</v>
      </c>
      <c r="I131" s="6">
        <v>45</v>
      </c>
      <c r="J131">
        <f>LOOKUP(I131,'Speed Percentiles'!$E$15:$F$17)</f>
        <v>51.396000000000015</v>
      </c>
      <c r="K131" s="6">
        <f t="shared" si="53"/>
        <v>9978.9987435533403</v>
      </c>
      <c r="L131" s="6">
        <f t="shared" si="54"/>
        <v>20.116800000000001</v>
      </c>
      <c r="M131" s="6">
        <f t="shared" si="55"/>
        <v>60.885689521535312</v>
      </c>
      <c r="N131" s="7">
        <f t="shared" si="56"/>
        <v>26.02993027693994</v>
      </c>
      <c r="O131" t="str">
        <f t="shared" si="57"/>
        <v>NO</v>
      </c>
      <c r="P131" t="str">
        <f t="shared" si="58"/>
        <v>NO</v>
      </c>
      <c r="Q131" s="5" t="str">
        <f t="shared" si="59"/>
        <v>NO</v>
      </c>
      <c r="R131" s="5" t="str">
        <f t="shared" si="60"/>
        <v>NO</v>
      </c>
      <c r="S131" s="5" t="str">
        <f t="shared" si="61"/>
        <v>OK</v>
      </c>
      <c r="T131" s="4" t="str">
        <f t="shared" si="62"/>
        <v>OK</v>
      </c>
    </row>
    <row r="132" spans="3:20" x14ac:dyDescent="0.25">
      <c r="C132" s="3">
        <f t="shared" si="39"/>
        <v>0.35225120000000021</v>
      </c>
      <c r="D132" s="6">
        <v>22000</v>
      </c>
      <c r="E132" s="6">
        <v>3</v>
      </c>
      <c r="F132">
        <f>LOOKUP(E132,'Angle Percentile'!$E$3:$F$10)</f>
        <v>98</v>
      </c>
      <c r="G132">
        <f t="shared" si="40"/>
        <v>5.2335956242943828E-2</v>
      </c>
      <c r="H132" s="6">
        <f t="shared" si="52"/>
        <v>5.2359877559829883E-2</v>
      </c>
      <c r="I132" s="6">
        <v>55</v>
      </c>
      <c r="J132">
        <f>LOOKUP(I132,'Speed Percentiles'!$E$15:$F$17)</f>
        <v>35.944000000000017</v>
      </c>
      <c r="K132" s="6">
        <f t="shared" si="53"/>
        <v>9978.9987435533403</v>
      </c>
      <c r="L132" s="6">
        <f t="shared" si="54"/>
        <v>24.587199999999999</v>
      </c>
      <c r="M132" s="6">
        <f t="shared" si="55"/>
        <v>8.2618146487733597</v>
      </c>
      <c r="N132" s="7">
        <f t="shared" si="56"/>
        <v>4.0970018415768674</v>
      </c>
      <c r="O132" t="str">
        <f t="shared" si="57"/>
        <v>OK</v>
      </c>
      <c r="P132" t="str">
        <f t="shared" si="58"/>
        <v>OK</v>
      </c>
      <c r="Q132" s="5" t="str">
        <f t="shared" si="59"/>
        <v>OK</v>
      </c>
      <c r="R132" s="5" t="str">
        <f t="shared" si="60"/>
        <v>OK</v>
      </c>
      <c r="S132" s="5" t="str">
        <f t="shared" si="61"/>
        <v>OK</v>
      </c>
      <c r="T132" s="4" t="str">
        <f t="shared" si="62"/>
        <v>OK</v>
      </c>
    </row>
    <row r="133" spans="3:20" x14ac:dyDescent="0.25">
      <c r="C133" s="3">
        <f t="shared" si="39"/>
        <v>0.46256400000000014</v>
      </c>
      <c r="D133" s="6">
        <v>22000</v>
      </c>
      <c r="E133" s="6">
        <v>5</v>
      </c>
      <c r="F133">
        <f>LOOKUP(E133,'Angle Percentile'!$E$3:$F$10)</f>
        <v>90</v>
      </c>
      <c r="G133">
        <f t="shared" si="40"/>
        <v>8.7155742747658166E-2</v>
      </c>
      <c r="H133" s="6">
        <f t="shared" si="52"/>
        <v>8.7266462599716474E-2</v>
      </c>
      <c r="I133" s="6">
        <v>45</v>
      </c>
      <c r="J133">
        <f>LOOKUP(I133,'Speed Percentiles'!$E$15:$F$17)</f>
        <v>51.396000000000015</v>
      </c>
      <c r="K133" s="6">
        <f t="shared" si="53"/>
        <v>9978.9987435533403</v>
      </c>
      <c r="L133" s="6">
        <f t="shared" si="54"/>
        <v>20.116800000000001</v>
      </c>
      <c r="M133" s="6">
        <f t="shared" si="55"/>
        <v>15.337931199919296</v>
      </c>
      <c r="N133" s="7">
        <f t="shared" si="56"/>
        <v>7.3916690495590025</v>
      </c>
      <c r="O133" t="str">
        <f t="shared" si="57"/>
        <v>NO</v>
      </c>
      <c r="P133" t="str">
        <f t="shared" si="58"/>
        <v>OK</v>
      </c>
      <c r="Q133" s="5" t="str">
        <f t="shared" si="59"/>
        <v>OK</v>
      </c>
      <c r="R133" s="5" t="str">
        <f t="shared" si="60"/>
        <v>OK</v>
      </c>
      <c r="S133" s="5" t="str">
        <f t="shared" si="61"/>
        <v>OK</v>
      </c>
      <c r="T133" s="4" t="str">
        <f t="shared" si="62"/>
        <v>OK</v>
      </c>
    </row>
    <row r="134" spans="3:20" x14ac:dyDescent="0.25">
      <c r="C134" s="3">
        <f t="shared" si="39"/>
        <v>0.50368080000000015</v>
      </c>
      <c r="D134" s="6">
        <v>22000</v>
      </c>
      <c r="E134" s="6">
        <v>3</v>
      </c>
      <c r="F134">
        <f>LOOKUP(E134,'Angle Percentile'!$E$3:$F$10)</f>
        <v>98</v>
      </c>
      <c r="G134">
        <f t="shared" si="40"/>
        <v>5.2335956242943828E-2</v>
      </c>
      <c r="H134" s="6">
        <f t="shared" si="52"/>
        <v>5.2359877559829883E-2</v>
      </c>
      <c r="I134" s="6">
        <v>45</v>
      </c>
      <c r="J134">
        <f>LOOKUP(I134,'Speed Percentiles'!$E$15:$F$17)</f>
        <v>51.396000000000015</v>
      </c>
      <c r="K134" s="6">
        <f t="shared" si="53"/>
        <v>9978.9987435533403</v>
      </c>
      <c r="L134" s="6">
        <f t="shared" si="54"/>
        <v>20.116800000000001</v>
      </c>
      <c r="M134" s="6">
        <f t="shared" si="55"/>
        <v>5.530636252484646</v>
      </c>
      <c r="N134" s="7">
        <f t="shared" si="56"/>
        <v>2.7095632162622003</v>
      </c>
      <c r="O134" t="str">
        <f t="shared" si="57"/>
        <v>OK</v>
      </c>
      <c r="P134" t="str">
        <f t="shared" si="58"/>
        <v>OK</v>
      </c>
      <c r="Q134" s="5" t="str">
        <f t="shared" si="59"/>
        <v>OK</v>
      </c>
      <c r="R134" s="5" t="str">
        <f t="shared" si="60"/>
        <v>OK</v>
      </c>
      <c r="S134" s="5" t="str">
        <f t="shared" si="61"/>
        <v>OK</v>
      </c>
      <c r="T134" s="4" t="str">
        <f t="shared" si="62"/>
        <v>OK</v>
      </c>
    </row>
    <row r="135" spans="3:20" x14ac:dyDescent="0.25">
      <c r="C135" s="3">
        <f t="shared" si="39"/>
        <v>9.0164800000000087E-2</v>
      </c>
      <c r="D135" s="6">
        <v>25000</v>
      </c>
      <c r="E135" s="6">
        <v>15</v>
      </c>
      <c r="F135">
        <f>LOOKUP(E135,'Angle Percentile'!$E$3:$F$10)</f>
        <v>44</v>
      </c>
      <c r="G135">
        <f t="shared" si="40"/>
        <v>0.25881904510252074</v>
      </c>
      <c r="H135" s="6">
        <f t="shared" si="52"/>
        <v>0.26179938779914941</v>
      </c>
      <c r="I135" s="6">
        <v>65</v>
      </c>
      <c r="J135">
        <f>LOOKUP(I135,'Speed Percentiles'!$E$15:$F$17)</f>
        <v>20.492000000000019</v>
      </c>
      <c r="K135" s="6">
        <f t="shared" si="53"/>
        <v>11339.771299492433</v>
      </c>
      <c r="L135" s="6">
        <f t="shared" si="54"/>
        <v>29.057599999999997</v>
      </c>
      <c r="M135" s="6">
        <f t="shared" si="55"/>
        <v>320.69060977318293</v>
      </c>
      <c r="N135" s="7">
        <f t="shared" si="56"/>
        <v>9999</v>
      </c>
      <c r="O135" t="str">
        <f t="shared" si="57"/>
        <v>NO</v>
      </c>
      <c r="P135" t="str">
        <f t="shared" si="58"/>
        <v>NO</v>
      </c>
      <c r="Q135" s="5" t="str">
        <f t="shared" si="59"/>
        <v>NO</v>
      </c>
      <c r="R135" s="5" t="str">
        <f t="shared" si="60"/>
        <v>NO</v>
      </c>
      <c r="S135" s="5" t="str">
        <f t="shared" si="61"/>
        <v>NO</v>
      </c>
      <c r="T135" s="4" t="str">
        <f t="shared" si="62"/>
        <v>NO</v>
      </c>
    </row>
    <row r="136" spans="3:20" x14ac:dyDescent="0.25">
      <c r="C136" s="3">
        <f t="shared" si="39"/>
        <v>0.13729640000000015</v>
      </c>
      <c r="D136" s="6">
        <v>25000</v>
      </c>
      <c r="E136" s="6">
        <v>10</v>
      </c>
      <c r="F136">
        <f>LOOKUP(E136,'Angle Percentile'!$E$3:$F$10)</f>
        <v>67</v>
      </c>
      <c r="G136">
        <f t="shared" si="40"/>
        <v>0.17364817766693033</v>
      </c>
      <c r="H136" s="6">
        <f t="shared" si="52"/>
        <v>0.17453292519943295</v>
      </c>
      <c r="I136" s="6">
        <v>65</v>
      </c>
      <c r="J136">
        <f>LOOKUP(I136,'Speed Percentiles'!$E$15:$F$17)</f>
        <v>20.492000000000019</v>
      </c>
      <c r="K136" s="6">
        <f t="shared" si="53"/>
        <v>11339.771299492433</v>
      </c>
      <c r="L136" s="6">
        <f t="shared" si="54"/>
        <v>29.057599999999997</v>
      </c>
      <c r="M136" s="6">
        <f t="shared" si="55"/>
        <v>144.35580147502057</v>
      </c>
      <c r="N136" s="7">
        <f t="shared" si="56"/>
        <v>46.232747149310448</v>
      </c>
      <c r="O136" t="str">
        <f t="shared" si="57"/>
        <v>NO</v>
      </c>
      <c r="P136" t="str">
        <f t="shared" si="58"/>
        <v>NO</v>
      </c>
      <c r="Q136" s="5" t="str">
        <f t="shared" si="59"/>
        <v>NO</v>
      </c>
      <c r="R136" s="5" t="str">
        <f t="shared" si="60"/>
        <v>NO</v>
      </c>
      <c r="S136" s="5" t="str">
        <f t="shared" si="61"/>
        <v>NO</v>
      </c>
      <c r="T136" s="4" t="str">
        <f t="shared" si="62"/>
        <v>NO</v>
      </c>
    </row>
    <row r="137" spans="3:20" x14ac:dyDescent="0.25">
      <c r="C137" s="3">
        <f t="shared" si="39"/>
        <v>0.18442800000000015</v>
      </c>
      <c r="D137" s="6">
        <v>25000</v>
      </c>
      <c r="E137" s="6">
        <v>5</v>
      </c>
      <c r="F137">
        <f>LOOKUP(E137,'Angle Percentile'!$E$3:$F$10)</f>
        <v>90</v>
      </c>
      <c r="G137">
        <f t="shared" si="40"/>
        <v>8.7155742747658166E-2</v>
      </c>
      <c r="H137" s="6">
        <f t="shared" si="52"/>
        <v>8.7266462599716474E-2</v>
      </c>
      <c r="I137" s="6">
        <v>65</v>
      </c>
      <c r="J137">
        <f>LOOKUP(I137,'Speed Percentiles'!$E$15:$F$17)</f>
        <v>20.492000000000019</v>
      </c>
      <c r="K137" s="6">
        <f t="shared" si="53"/>
        <v>11339.771299492433</v>
      </c>
      <c r="L137" s="6">
        <f t="shared" si="54"/>
        <v>29.057599999999997</v>
      </c>
      <c r="M137" s="6">
        <f t="shared" si="55"/>
        <v>36.365184803400119</v>
      </c>
      <c r="N137" s="7">
        <f t="shared" si="56"/>
        <v>16.67351388012726</v>
      </c>
      <c r="O137" t="str">
        <f t="shared" si="57"/>
        <v>NO</v>
      </c>
      <c r="P137" t="str">
        <f t="shared" si="58"/>
        <v>NO</v>
      </c>
      <c r="Q137" s="5" t="str">
        <f t="shared" si="59"/>
        <v>OK</v>
      </c>
      <c r="R137" s="5" t="str">
        <f t="shared" si="60"/>
        <v>OK</v>
      </c>
      <c r="S137" s="5" t="str">
        <f t="shared" si="61"/>
        <v>OK</v>
      </c>
      <c r="T137" s="4" t="str">
        <f t="shared" si="62"/>
        <v>OK</v>
      </c>
    </row>
    <row r="138" spans="3:20" x14ac:dyDescent="0.25">
      <c r="C138" s="3">
        <f t="shared" si="39"/>
        <v>0.20082160000000018</v>
      </c>
      <c r="D138" s="6">
        <v>25000</v>
      </c>
      <c r="E138" s="6">
        <v>3</v>
      </c>
      <c r="F138">
        <f>LOOKUP(E138,'Angle Percentile'!$E$3:$F$10)</f>
        <v>98</v>
      </c>
      <c r="G138">
        <f t="shared" si="40"/>
        <v>5.2335956242943828E-2</v>
      </c>
      <c r="H138" s="6">
        <f t="shared" si="52"/>
        <v>5.2359877559829883E-2</v>
      </c>
      <c r="I138" s="6">
        <v>65</v>
      </c>
      <c r="J138">
        <f>LOOKUP(I138,'Speed Percentiles'!$E$15:$F$17)</f>
        <v>20.492000000000019</v>
      </c>
      <c r="K138" s="6">
        <f t="shared" si="53"/>
        <v>11339.771299492433</v>
      </c>
      <c r="L138" s="6">
        <f t="shared" si="54"/>
        <v>29.057599999999997</v>
      </c>
      <c r="M138" s="6">
        <f t="shared" si="55"/>
        <v>13.112759913999792</v>
      </c>
      <c r="N138" s="7">
        <f t="shared" si="56"/>
        <v>6.3612820363118949</v>
      </c>
      <c r="O138" t="str">
        <f t="shared" si="57"/>
        <v>NO</v>
      </c>
      <c r="P138" t="str">
        <f t="shared" si="58"/>
        <v>OK</v>
      </c>
      <c r="Q138" s="5" t="str">
        <f t="shared" si="59"/>
        <v>OK</v>
      </c>
      <c r="R138" s="5" t="str">
        <f t="shared" si="60"/>
        <v>OK</v>
      </c>
      <c r="S138" s="5" t="str">
        <f t="shared" si="61"/>
        <v>OK</v>
      </c>
      <c r="T138" s="4" t="str">
        <f t="shared" si="62"/>
        <v>OK</v>
      </c>
    </row>
    <row r="139" spans="3:20" x14ac:dyDescent="0.25">
      <c r="C139" s="3">
        <f t="shared" si="39"/>
        <v>0.15815360000000006</v>
      </c>
      <c r="D139" s="6">
        <v>25000</v>
      </c>
      <c r="E139" s="6">
        <v>15</v>
      </c>
      <c r="F139">
        <f>LOOKUP(E139,'Angle Percentile'!$E$3:$F$10)</f>
        <v>44</v>
      </c>
      <c r="G139">
        <f t="shared" si="40"/>
        <v>0.25881904510252074</v>
      </c>
      <c r="H139" s="6">
        <f t="shared" si="52"/>
        <v>0.26179938779914941</v>
      </c>
      <c r="I139" s="6">
        <v>55</v>
      </c>
      <c r="J139">
        <f>LOOKUP(I139,'Speed Percentiles'!$E$15:$F$17)</f>
        <v>35.944000000000017</v>
      </c>
      <c r="K139" s="6">
        <f t="shared" si="53"/>
        <v>11339.771299492433</v>
      </c>
      <c r="L139" s="6">
        <f t="shared" si="54"/>
        <v>24.587199999999999</v>
      </c>
      <c r="M139" s="6">
        <f t="shared" si="55"/>
        <v>229.60688628730847</v>
      </c>
      <c r="N139" s="7">
        <f t="shared" si="56"/>
        <v>9999</v>
      </c>
      <c r="O139" t="str">
        <f t="shared" si="57"/>
        <v>NO</v>
      </c>
      <c r="P139" t="str">
        <f t="shared" si="58"/>
        <v>NO</v>
      </c>
      <c r="Q139" s="5" t="str">
        <f t="shared" si="59"/>
        <v>NO</v>
      </c>
      <c r="R139" s="5" t="str">
        <f t="shared" si="60"/>
        <v>NO</v>
      </c>
      <c r="S139" s="5" t="str">
        <f t="shared" si="61"/>
        <v>NO</v>
      </c>
      <c r="T139" s="4" t="str">
        <f t="shared" si="62"/>
        <v>NO</v>
      </c>
    </row>
    <row r="140" spans="3:20" x14ac:dyDescent="0.25">
      <c r="C140" s="3">
        <f t="shared" si="39"/>
        <v>0.22614240000000005</v>
      </c>
      <c r="D140" s="6">
        <v>25000</v>
      </c>
      <c r="E140" s="6">
        <v>15</v>
      </c>
      <c r="F140">
        <f>LOOKUP(E140,'Angle Percentile'!$E$3:$F$10)</f>
        <v>44</v>
      </c>
      <c r="G140">
        <f t="shared" si="40"/>
        <v>0.25881904510252074</v>
      </c>
      <c r="H140" s="6">
        <f t="shared" si="52"/>
        <v>0.26179938779914941</v>
      </c>
      <c r="I140" s="6">
        <v>45</v>
      </c>
      <c r="J140">
        <f>LOOKUP(I140,'Speed Percentiles'!$E$15:$F$17)</f>
        <v>51.396000000000015</v>
      </c>
      <c r="K140" s="6">
        <f t="shared" si="53"/>
        <v>11339.771299492433</v>
      </c>
      <c r="L140" s="6">
        <f t="shared" si="54"/>
        <v>20.116800000000001</v>
      </c>
      <c r="M140" s="6">
        <f t="shared" si="55"/>
        <v>153.70378338241315</v>
      </c>
      <c r="N140" s="7">
        <f t="shared" si="56"/>
        <v>9999</v>
      </c>
      <c r="O140" t="str">
        <f t="shared" si="57"/>
        <v>NO</v>
      </c>
      <c r="P140" t="str">
        <f t="shared" si="58"/>
        <v>NO</v>
      </c>
      <c r="Q140" s="5" t="str">
        <f t="shared" si="59"/>
        <v>NO</v>
      </c>
      <c r="R140" s="5" t="str">
        <f t="shared" si="60"/>
        <v>NO</v>
      </c>
      <c r="S140" s="5" t="str">
        <f t="shared" si="61"/>
        <v>NO</v>
      </c>
      <c r="T140" s="4" t="str">
        <f t="shared" si="62"/>
        <v>NO</v>
      </c>
    </row>
    <row r="141" spans="3:20" x14ac:dyDescent="0.25">
      <c r="C141" s="3">
        <f t="shared" si="39"/>
        <v>0.24082480000000012</v>
      </c>
      <c r="D141" s="6">
        <v>25000</v>
      </c>
      <c r="E141" s="6">
        <v>10</v>
      </c>
      <c r="F141">
        <f>LOOKUP(E141,'Angle Percentile'!$E$3:$F$10)</f>
        <v>67</v>
      </c>
      <c r="G141">
        <f t="shared" si="40"/>
        <v>0.17364817766693033</v>
      </c>
      <c r="H141" s="6">
        <f t="shared" si="52"/>
        <v>0.17453292519943295</v>
      </c>
      <c r="I141" s="6">
        <v>55</v>
      </c>
      <c r="J141">
        <f>LOOKUP(I141,'Speed Percentiles'!$E$15:$F$17)</f>
        <v>35.944000000000017</v>
      </c>
      <c r="K141" s="6">
        <f t="shared" si="53"/>
        <v>11339.771299492433</v>
      </c>
      <c r="L141" s="6">
        <f t="shared" si="54"/>
        <v>24.587199999999999</v>
      </c>
      <c r="M141" s="6">
        <f t="shared" si="55"/>
        <v>103.35533715075439</v>
      </c>
      <c r="N141" s="7">
        <f t="shared" si="56"/>
        <v>38.604511272583231</v>
      </c>
      <c r="O141" t="str">
        <f t="shared" si="57"/>
        <v>NO</v>
      </c>
      <c r="P141" t="str">
        <f t="shared" si="58"/>
        <v>NO</v>
      </c>
      <c r="Q141" s="5" t="str">
        <f t="shared" si="59"/>
        <v>NO</v>
      </c>
      <c r="R141" s="5" t="str">
        <f t="shared" si="60"/>
        <v>NO</v>
      </c>
      <c r="S141" s="5" t="str">
        <f t="shared" si="61"/>
        <v>NO</v>
      </c>
      <c r="T141" s="4" t="str">
        <f t="shared" si="62"/>
        <v>NO</v>
      </c>
    </row>
    <row r="142" spans="3:20" x14ac:dyDescent="0.25">
      <c r="C142" s="3">
        <f t="shared" si="39"/>
        <v>0.32349600000000017</v>
      </c>
      <c r="D142" s="6">
        <v>25000</v>
      </c>
      <c r="E142" s="6">
        <v>5</v>
      </c>
      <c r="F142">
        <f>LOOKUP(E142,'Angle Percentile'!$E$3:$F$10)</f>
        <v>90</v>
      </c>
      <c r="G142">
        <f t="shared" si="40"/>
        <v>8.7155742747658166E-2</v>
      </c>
      <c r="H142" s="6">
        <f t="shared" si="52"/>
        <v>8.7266462599716474E-2</v>
      </c>
      <c r="I142" s="6">
        <v>55</v>
      </c>
      <c r="J142">
        <f>LOOKUP(I142,'Speed Percentiles'!$E$15:$F$17)</f>
        <v>35.944000000000017</v>
      </c>
      <c r="K142" s="6">
        <f t="shared" si="53"/>
        <v>11339.771299492433</v>
      </c>
      <c r="L142" s="6">
        <f t="shared" si="54"/>
        <v>24.587199999999999</v>
      </c>
      <c r="M142" s="6">
        <f t="shared" si="55"/>
        <v>26.036611604801269</v>
      </c>
      <c r="N142" s="7">
        <f t="shared" si="56"/>
        <v>12.326598695239044</v>
      </c>
      <c r="O142" t="str">
        <f t="shared" si="57"/>
        <v>NO</v>
      </c>
      <c r="P142" t="str">
        <f t="shared" si="58"/>
        <v>NO</v>
      </c>
      <c r="Q142" s="5" t="str">
        <f t="shared" si="59"/>
        <v>OK</v>
      </c>
      <c r="R142" s="5" t="str">
        <f t="shared" si="60"/>
        <v>OK</v>
      </c>
      <c r="S142" s="5" t="str">
        <f t="shared" si="61"/>
        <v>OK</v>
      </c>
      <c r="T142" s="4" t="str">
        <f t="shared" si="62"/>
        <v>OK</v>
      </c>
    </row>
    <row r="143" spans="3:20" x14ac:dyDescent="0.25">
      <c r="C143" s="3">
        <f t="shared" si="39"/>
        <v>0.34435320000000014</v>
      </c>
      <c r="D143" s="6">
        <v>25000</v>
      </c>
      <c r="E143" s="6">
        <v>10</v>
      </c>
      <c r="F143">
        <f>LOOKUP(E143,'Angle Percentile'!$E$3:$F$10)</f>
        <v>67</v>
      </c>
      <c r="G143">
        <f t="shared" si="40"/>
        <v>0.17364817766693033</v>
      </c>
      <c r="H143" s="6">
        <f t="shared" ref="H143:H174" si="63">E143*PI()/180</f>
        <v>0.17453292519943295</v>
      </c>
      <c r="I143" s="6">
        <v>45</v>
      </c>
      <c r="J143">
        <f>LOOKUP(I143,'Speed Percentiles'!$E$15:$F$17)</f>
        <v>51.396000000000015</v>
      </c>
      <c r="K143" s="6">
        <f t="shared" ref="K143:K174" si="64">D143/2.20463</f>
        <v>11339.771299492433</v>
      </c>
      <c r="L143" s="6">
        <f t="shared" ref="L143:L174" si="65">(I143/3600)*(5280*0.3048)</f>
        <v>20.116800000000001</v>
      </c>
      <c r="M143" s="6">
        <f t="shared" ref="M143:M174" si="66">(0.5*(K143)*((SIN(H143))*L143)^2)/1000</f>
        <v>69.188283547199234</v>
      </c>
      <c r="N143" s="7">
        <f t="shared" ref="N143:N174" si="67">IF(M143&lt;150,ROUNDUP(-0.0013*(M143^2),1)+(0.508*M143),9999)</f>
        <v>28.847648041977212</v>
      </c>
      <c r="O143" t="str">
        <f t="shared" ref="O143:O174" si="68">IF($N143+6&lt;11, "OK","NO")</f>
        <v>NO</v>
      </c>
      <c r="P143" t="str">
        <f t="shared" ref="P143:P174" si="69">IF($N143+6&lt;17, "OK","NO")</f>
        <v>NO</v>
      </c>
      <c r="Q143" s="5" t="str">
        <f t="shared" ref="Q143:Q174" si="70">IF($N143+6&lt;23, "OK","NO")</f>
        <v>NO</v>
      </c>
      <c r="R143" s="5" t="str">
        <f t="shared" ref="R143:R174" si="71">IF($N143+6&lt;29, "OK","NO")</f>
        <v>NO</v>
      </c>
      <c r="S143" s="5" t="str">
        <f t="shared" ref="S143:S174" si="72">IF($N143+6&lt;35, "OK","NO")</f>
        <v>OK</v>
      </c>
      <c r="T143" s="4" t="str">
        <f t="shared" ref="T143:T174" si="73">IF($N143+6&lt;41, "OK","NO")</f>
        <v>OK</v>
      </c>
    </row>
    <row r="144" spans="3:20" x14ac:dyDescent="0.25">
      <c r="C144" s="3">
        <f t="shared" ref="C144:C206" si="74">F144/100*J144/100</f>
        <v>0.35225120000000021</v>
      </c>
      <c r="D144" s="6">
        <v>25000</v>
      </c>
      <c r="E144" s="6">
        <v>3</v>
      </c>
      <c r="F144">
        <f>LOOKUP(E144,'Angle Percentile'!$E$3:$F$10)</f>
        <v>98</v>
      </c>
      <c r="G144">
        <f t="shared" ref="G144:G206" si="75">SIN(H144)</f>
        <v>5.2335956242943828E-2</v>
      </c>
      <c r="H144" s="6">
        <f t="shared" si="63"/>
        <v>5.2359877559829883E-2</v>
      </c>
      <c r="I144" s="6">
        <v>55</v>
      </c>
      <c r="J144">
        <f>LOOKUP(I144,'Speed Percentiles'!$E$15:$F$17)</f>
        <v>35.944000000000017</v>
      </c>
      <c r="K144" s="6">
        <f t="shared" si="64"/>
        <v>11339.771299492433</v>
      </c>
      <c r="L144" s="6">
        <f t="shared" si="65"/>
        <v>24.587199999999999</v>
      </c>
      <c r="M144" s="6">
        <f t="shared" si="66"/>
        <v>9.3884257372424553</v>
      </c>
      <c r="N144" s="7">
        <f t="shared" si="67"/>
        <v>4.5693202745191668</v>
      </c>
      <c r="O144" t="str">
        <f t="shared" si="68"/>
        <v>OK</v>
      </c>
      <c r="P144" t="str">
        <f t="shared" si="69"/>
        <v>OK</v>
      </c>
      <c r="Q144" s="5" t="str">
        <f t="shared" si="70"/>
        <v>OK</v>
      </c>
      <c r="R144" s="5" t="str">
        <f t="shared" si="71"/>
        <v>OK</v>
      </c>
      <c r="S144" s="5" t="str">
        <f t="shared" si="72"/>
        <v>OK</v>
      </c>
      <c r="T144" s="4" t="str">
        <f t="shared" si="73"/>
        <v>OK</v>
      </c>
    </row>
    <row r="145" spans="3:20" x14ac:dyDescent="0.25">
      <c r="C145" s="3">
        <f t="shared" si="74"/>
        <v>0.46256400000000014</v>
      </c>
      <c r="D145" s="6">
        <v>25000</v>
      </c>
      <c r="E145" s="6">
        <v>5</v>
      </c>
      <c r="F145">
        <f>LOOKUP(E145,'Angle Percentile'!$E$3:$F$10)</f>
        <v>90</v>
      </c>
      <c r="G145">
        <f t="shared" si="75"/>
        <v>8.7155742747658166E-2</v>
      </c>
      <c r="H145" s="6">
        <f t="shared" si="63"/>
        <v>8.7266462599716474E-2</v>
      </c>
      <c r="I145" s="6">
        <v>45</v>
      </c>
      <c r="J145">
        <f>LOOKUP(I145,'Speed Percentiles'!$E$15:$F$17)</f>
        <v>51.396000000000015</v>
      </c>
      <c r="K145" s="6">
        <f t="shared" si="64"/>
        <v>11339.771299492433</v>
      </c>
      <c r="L145" s="6">
        <f t="shared" si="65"/>
        <v>20.116800000000001</v>
      </c>
      <c r="M145" s="6">
        <f t="shared" si="66"/>
        <v>17.429467272635563</v>
      </c>
      <c r="N145" s="7">
        <f t="shared" si="67"/>
        <v>8.454169374498866</v>
      </c>
      <c r="O145" t="str">
        <f t="shared" si="68"/>
        <v>NO</v>
      </c>
      <c r="P145" t="str">
        <f t="shared" si="69"/>
        <v>OK</v>
      </c>
      <c r="Q145" s="5" t="str">
        <f t="shared" si="70"/>
        <v>OK</v>
      </c>
      <c r="R145" s="5" t="str">
        <f t="shared" si="71"/>
        <v>OK</v>
      </c>
      <c r="S145" s="5" t="str">
        <f t="shared" si="72"/>
        <v>OK</v>
      </c>
      <c r="T145" s="4" t="str">
        <f t="shared" si="73"/>
        <v>OK</v>
      </c>
    </row>
    <row r="146" spans="3:20" x14ac:dyDescent="0.25">
      <c r="C146" s="3">
        <f t="shared" si="74"/>
        <v>0.50368080000000015</v>
      </c>
      <c r="D146" s="6">
        <v>25000</v>
      </c>
      <c r="E146" s="6">
        <v>3</v>
      </c>
      <c r="F146">
        <f>LOOKUP(E146,'Angle Percentile'!$E$3:$F$10)</f>
        <v>98</v>
      </c>
      <c r="G146">
        <f t="shared" si="75"/>
        <v>5.2335956242943828E-2</v>
      </c>
      <c r="H146" s="6">
        <f t="shared" si="63"/>
        <v>5.2359877559829883E-2</v>
      </c>
      <c r="I146" s="6">
        <v>45</v>
      </c>
      <c r="J146">
        <f>LOOKUP(I146,'Speed Percentiles'!$E$15:$F$17)</f>
        <v>51.396000000000015</v>
      </c>
      <c r="K146" s="6">
        <f t="shared" si="64"/>
        <v>11339.771299492433</v>
      </c>
      <c r="L146" s="6">
        <f t="shared" si="65"/>
        <v>20.116800000000001</v>
      </c>
      <c r="M146" s="6">
        <f t="shared" si="66"/>
        <v>6.2848139232780076</v>
      </c>
      <c r="N146" s="7">
        <f t="shared" si="67"/>
        <v>3.0926854730252278</v>
      </c>
      <c r="O146" t="str">
        <f t="shared" si="68"/>
        <v>OK</v>
      </c>
      <c r="P146" t="str">
        <f t="shared" si="69"/>
        <v>OK</v>
      </c>
      <c r="Q146" s="5" t="str">
        <f t="shared" si="70"/>
        <v>OK</v>
      </c>
      <c r="R146" s="5" t="str">
        <f t="shared" si="71"/>
        <v>OK</v>
      </c>
      <c r="S146" s="5" t="str">
        <f t="shared" si="72"/>
        <v>OK</v>
      </c>
      <c r="T146" s="4" t="str">
        <f t="shared" si="73"/>
        <v>OK</v>
      </c>
    </row>
    <row r="147" spans="3:20" x14ac:dyDescent="0.25">
      <c r="C147" s="3">
        <f t="shared" si="74"/>
        <v>9.0164800000000087E-2</v>
      </c>
      <c r="D147" s="6">
        <v>40000</v>
      </c>
      <c r="E147" s="6">
        <v>15</v>
      </c>
      <c r="F147">
        <f>LOOKUP(E147,'Angle Percentile'!$E$3:$F$10)</f>
        <v>44</v>
      </c>
      <c r="G147">
        <f t="shared" si="75"/>
        <v>0.25881904510252074</v>
      </c>
      <c r="H147" s="6">
        <f t="shared" si="63"/>
        <v>0.26179938779914941</v>
      </c>
      <c r="I147" s="6">
        <v>65</v>
      </c>
      <c r="J147">
        <f>LOOKUP(I147,'Speed Percentiles'!$E$15:$F$17)</f>
        <v>20.492000000000019</v>
      </c>
      <c r="K147" s="6">
        <f t="shared" si="64"/>
        <v>18143.634079187894</v>
      </c>
      <c r="L147" s="6">
        <f t="shared" si="65"/>
        <v>29.057599999999997</v>
      </c>
      <c r="M147" s="6">
        <f t="shared" si="66"/>
        <v>513.10497563709271</v>
      </c>
      <c r="N147" s="7">
        <f t="shared" si="67"/>
        <v>9999</v>
      </c>
      <c r="O147" t="str">
        <f t="shared" si="68"/>
        <v>NO</v>
      </c>
      <c r="P147" t="str">
        <f t="shared" si="69"/>
        <v>NO</v>
      </c>
      <c r="Q147" s="5" t="str">
        <f t="shared" si="70"/>
        <v>NO</v>
      </c>
      <c r="R147" s="5" t="str">
        <f t="shared" si="71"/>
        <v>NO</v>
      </c>
      <c r="S147" s="5" t="str">
        <f t="shared" si="72"/>
        <v>NO</v>
      </c>
      <c r="T147" s="4" t="str">
        <f t="shared" si="73"/>
        <v>NO</v>
      </c>
    </row>
    <row r="148" spans="3:20" x14ac:dyDescent="0.25">
      <c r="C148" s="3">
        <f t="shared" si="74"/>
        <v>0.13729640000000015</v>
      </c>
      <c r="D148" s="6">
        <v>40000</v>
      </c>
      <c r="E148" s="6">
        <v>10</v>
      </c>
      <c r="F148">
        <f>LOOKUP(E148,'Angle Percentile'!$E$3:$F$10)</f>
        <v>67</v>
      </c>
      <c r="G148">
        <f t="shared" si="75"/>
        <v>0.17364817766693033</v>
      </c>
      <c r="H148" s="6">
        <f t="shared" si="63"/>
        <v>0.17453292519943295</v>
      </c>
      <c r="I148" s="6">
        <v>65</v>
      </c>
      <c r="J148">
        <f>LOOKUP(I148,'Speed Percentiles'!$E$15:$F$17)</f>
        <v>20.492000000000019</v>
      </c>
      <c r="K148" s="6">
        <f t="shared" si="64"/>
        <v>18143.634079187894</v>
      </c>
      <c r="L148" s="6">
        <f t="shared" si="65"/>
        <v>29.057599999999997</v>
      </c>
      <c r="M148" s="6">
        <f t="shared" si="66"/>
        <v>230.96928236003291</v>
      </c>
      <c r="N148" s="7">
        <f t="shared" si="67"/>
        <v>9999</v>
      </c>
      <c r="O148" t="str">
        <f t="shared" si="68"/>
        <v>NO</v>
      </c>
      <c r="P148" t="str">
        <f t="shared" si="69"/>
        <v>NO</v>
      </c>
      <c r="Q148" s="5" t="str">
        <f t="shared" si="70"/>
        <v>NO</v>
      </c>
      <c r="R148" s="5" t="str">
        <f t="shared" si="71"/>
        <v>NO</v>
      </c>
      <c r="S148" s="5" t="str">
        <f t="shared" si="72"/>
        <v>NO</v>
      </c>
      <c r="T148" s="4" t="str">
        <f t="shared" si="73"/>
        <v>NO</v>
      </c>
    </row>
    <row r="149" spans="3:20" x14ac:dyDescent="0.25">
      <c r="C149" s="3">
        <f t="shared" si="74"/>
        <v>0.18442800000000015</v>
      </c>
      <c r="D149" s="6">
        <v>40000</v>
      </c>
      <c r="E149" s="6">
        <v>5</v>
      </c>
      <c r="F149">
        <f>LOOKUP(E149,'Angle Percentile'!$E$3:$F$10)</f>
        <v>90</v>
      </c>
      <c r="G149">
        <f t="shared" si="75"/>
        <v>8.7155742747658166E-2</v>
      </c>
      <c r="H149" s="6">
        <f t="shared" si="63"/>
        <v>8.7266462599716474E-2</v>
      </c>
      <c r="I149" s="6">
        <v>65</v>
      </c>
      <c r="J149">
        <f>LOOKUP(I149,'Speed Percentiles'!$E$15:$F$17)</f>
        <v>20.492000000000019</v>
      </c>
      <c r="K149" s="6">
        <f t="shared" si="64"/>
        <v>18143.634079187894</v>
      </c>
      <c r="L149" s="6">
        <f t="shared" si="65"/>
        <v>29.057599999999997</v>
      </c>
      <c r="M149" s="6">
        <f t="shared" si="66"/>
        <v>58.18429568544019</v>
      </c>
      <c r="N149" s="7">
        <f t="shared" si="67"/>
        <v>25.057622208203618</v>
      </c>
      <c r="O149" t="str">
        <f t="shared" si="68"/>
        <v>NO</v>
      </c>
      <c r="P149" t="str">
        <f t="shared" si="69"/>
        <v>NO</v>
      </c>
      <c r="Q149" s="5" t="str">
        <f t="shared" si="70"/>
        <v>NO</v>
      </c>
      <c r="R149" s="5" t="str">
        <f t="shared" si="71"/>
        <v>NO</v>
      </c>
      <c r="S149" s="5" t="str">
        <f t="shared" si="72"/>
        <v>OK</v>
      </c>
      <c r="T149" s="4" t="str">
        <f t="shared" si="73"/>
        <v>OK</v>
      </c>
    </row>
    <row r="150" spans="3:20" x14ac:dyDescent="0.25">
      <c r="C150" s="3">
        <f t="shared" si="74"/>
        <v>0.20082160000000018</v>
      </c>
      <c r="D150" s="6">
        <v>40000</v>
      </c>
      <c r="E150" s="6">
        <v>3</v>
      </c>
      <c r="F150">
        <f>LOOKUP(E150,'Angle Percentile'!$E$3:$F$10)</f>
        <v>98</v>
      </c>
      <c r="G150">
        <f t="shared" si="75"/>
        <v>5.2335956242943828E-2</v>
      </c>
      <c r="H150" s="6">
        <f t="shared" si="63"/>
        <v>5.2359877559829883E-2</v>
      </c>
      <c r="I150" s="6">
        <v>65</v>
      </c>
      <c r="J150">
        <f>LOOKUP(I150,'Speed Percentiles'!$E$15:$F$17)</f>
        <v>20.492000000000019</v>
      </c>
      <c r="K150" s="6">
        <f t="shared" si="64"/>
        <v>18143.634079187894</v>
      </c>
      <c r="L150" s="6">
        <f t="shared" si="65"/>
        <v>29.057599999999997</v>
      </c>
      <c r="M150" s="6">
        <f t="shared" si="66"/>
        <v>20.980415862399667</v>
      </c>
      <c r="N150" s="7">
        <f t="shared" si="67"/>
        <v>10.058051258099031</v>
      </c>
      <c r="O150" t="str">
        <f t="shared" si="68"/>
        <v>NO</v>
      </c>
      <c r="P150" t="str">
        <f t="shared" si="69"/>
        <v>OK</v>
      </c>
      <c r="Q150" s="5" t="str">
        <f t="shared" si="70"/>
        <v>OK</v>
      </c>
      <c r="R150" s="5" t="str">
        <f t="shared" si="71"/>
        <v>OK</v>
      </c>
      <c r="S150" s="5" t="str">
        <f t="shared" si="72"/>
        <v>OK</v>
      </c>
      <c r="T150" s="4" t="str">
        <f t="shared" si="73"/>
        <v>OK</v>
      </c>
    </row>
    <row r="151" spans="3:20" x14ac:dyDescent="0.25">
      <c r="C151" s="3">
        <f t="shared" si="74"/>
        <v>0.15815360000000006</v>
      </c>
      <c r="D151" s="6">
        <v>40000</v>
      </c>
      <c r="E151" s="6">
        <v>15</v>
      </c>
      <c r="F151">
        <f>LOOKUP(E151,'Angle Percentile'!$E$3:$F$10)</f>
        <v>44</v>
      </c>
      <c r="G151">
        <f t="shared" si="75"/>
        <v>0.25881904510252074</v>
      </c>
      <c r="H151" s="6">
        <f t="shared" si="63"/>
        <v>0.26179938779914941</v>
      </c>
      <c r="I151" s="6">
        <v>55</v>
      </c>
      <c r="J151">
        <f>LOOKUP(I151,'Speed Percentiles'!$E$15:$F$17)</f>
        <v>35.944000000000017</v>
      </c>
      <c r="K151" s="6">
        <f t="shared" si="64"/>
        <v>18143.634079187894</v>
      </c>
      <c r="L151" s="6">
        <f t="shared" si="65"/>
        <v>24.587199999999999</v>
      </c>
      <c r="M151" s="6">
        <f t="shared" si="66"/>
        <v>367.37101805969354</v>
      </c>
      <c r="N151" s="7">
        <f t="shared" si="67"/>
        <v>9999</v>
      </c>
      <c r="O151" t="str">
        <f t="shared" si="68"/>
        <v>NO</v>
      </c>
      <c r="P151" t="str">
        <f t="shared" si="69"/>
        <v>NO</v>
      </c>
      <c r="Q151" s="5" t="str">
        <f t="shared" si="70"/>
        <v>NO</v>
      </c>
      <c r="R151" s="5" t="str">
        <f t="shared" si="71"/>
        <v>NO</v>
      </c>
      <c r="S151" s="5" t="str">
        <f t="shared" si="72"/>
        <v>NO</v>
      </c>
      <c r="T151" s="4" t="str">
        <f t="shared" si="73"/>
        <v>NO</v>
      </c>
    </row>
    <row r="152" spans="3:20" x14ac:dyDescent="0.25">
      <c r="C152" s="3">
        <f t="shared" si="74"/>
        <v>0.22614240000000005</v>
      </c>
      <c r="D152" s="6">
        <v>40000</v>
      </c>
      <c r="E152" s="6">
        <v>15</v>
      </c>
      <c r="F152">
        <f>LOOKUP(E152,'Angle Percentile'!$E$3:$F$10)</f>
        <v>44</v>
      </c>
      <c r="G152">
        <f t="shared" si="75"/>
        <v>0.25881904510252074</v>
      </c>
      <c r="H152" s="6">
        <f t="shared" si="63"/>
        <v>0.26179938779914941</v>
      </c>
      <c r="I152" s="6">
        <v>45</v>
      </c>
      <c r="J152">
        <f>LOOKUP(I152,'Speed Percentiles'!$E$15:$F$17)</f>
        <v>51.396000000000015</v>
      </c>
      <c r="K152" s="6">
        <f t="shared" si="64"/>
        <v>18143.634079187894</v>
      </c>
      <c r="L152" s="6">
        <f t="shared" si="65"/>
        <v>20.116800000000001</v>
      </c>
      <c r="M152" s="6">
        <f t="shared" si="66"/>
        <v>245.92605341186103</v>
      </c>
      <c r="N152" s="7">
        <f t="shared" si="67"/>
        <v>9999</v>
      </c>
      <c r="O152" t="str">
        <f t="shared" si="68"/>
        <v>NO</v>
      </c>
      <c r="P152" t="str">
        <f t="shared" si="69"/>
        <v>NO</v>
      </c>
      <c r="Q152" s="5" t="str">
        <f t="shared" si="70"/>
        <v>NO</v>
      </c>
      <c r="R152" s="5" t="str">
        <f t="shared" si="71"/>
        <v>NO</v>
      </c>
      <c r="S152" s="5" t="str">
        <f t="shared" si="72"/>
        <v>NO</v>
      </c>
      <c r="T152" s="4" t="str">
        <f t="shared" si="73"/>
        <v>NO</v>
      </c>
    </row>
    <row r="153" spans="3:20" x14ac:dyDescent="0.25">
      <c r="C153" s="3">
        <f t="shared" si="74"/>
        <v>0.24082480000000012</v>
      </c>
      <c r="D153" s="6">
        <v>40000</v>
      </c>
      <c r="E153" s="6">
        <v>10</v>
      </c>
      <c r="F153">
        <f>LOOKUP(E153,'Angle Percentile'!$E$3:$F$10)</f>
        <v>67</v>
      </c>
      <c r="G153">
        <f t="shared" si="75"/>
        <v>0.17364817766693033</v>
      </c>
      <c r="H153" s="6">
        <f t="shared" si="63"/>
        <v>0.17453292519943295</v>
      </c>
      <c r="I153" s="6">
        <v>55</v>
      </c>
      <c r="J153">
        <f>LOOKUP(I153,'Speed Percentiles'!$E$15:$F$17)</f>
        <v>35.944000000000017</v>
      </c>
      <c r="K153" s="6">
        <f t="shared" si="64"/>
        <v>18143.634079187894</v>
      </c>
      <c r="L153" s="6">
        <f t="shared" si="65"/>
        <v>24.587199999999999</v>
      </c>
      <c r="M153" s="6">
        <f t="shared" si="66"/>
        <v>165.36853944120705</v>
      </c>
      <c r="N153" s="7">
        <f t="shared" si="67"/>
        <v>9999</v>
      </c>
      <c r="O153" t="str">
        <f t="shared" si="68"/>
        <v>NO</v>
      </c>
      <c r="P153" t="str">
        <f t="shared" si="69"/>
        <v>NO</v>
      </c>
      <c r="Q153" s="5" t="str">
        <f t="shared" si="70"/>
        <v>NO</v>
      </c>
      <c r="R153" s="5" t="str">
        <f t="shared" si="71"/>
        <v>NO</v>
      </c>
      <c r="S153" s="5" t="str">
        <f t="shared" si="72"/>
        <v>NO</v>
      </c>
      <c r="T153" s="4" t="str">
        <f t="shared" si="73"/>
        <v>NO</v>
      </c>
    </row>
    <row r="154" spans="3:20" x14ac:dyDescent="0.25">
      <c r="C154" s="3">
        <f t="shared" si="74"/>
        <v>0.32349600000000017</v>
      </c>
      <c r="D154" s="6">
        <v>40000</v>
      </c>
      <c r="E154" s="6">
        <v>5</v>
      </c>
      <c r="F154">
        <f>LOOKUP(E154,'Angle Percentile'!$E$3:$F$10)</f>
        <v>90</v>
      </c>
      <c r="G154">
        <f t="shared" si="75"/>
        <v>8.7155742747658166E-2</v>
      </c>
      <c r="H154" s="6">
        <f t="shared" si="63"/>
        <v>8.7266462599716474E-2</v>
      </c>
      <c r="I154" s="6">
        <v>55</v>
      </c>
      <c r="J154">
        <f>LOOKUP(I154,'Speed Percentiles'!$E$15:$F$17)</f>
        <v>35.944000000000017</v>
      </c>
      <c r="K154" s="6">
        <f t="shared" si="64"/>
        <v>18143.634079187894</v>
      </c>
      <c r="L154" s="6">
        <f t="shared" si="65"/>
        <v>24.587199999999999</v>
      </c>
      <c r="M154" s="6">
        <f t="shared" si="66"/>
        <v>41.658578567682028</v>
      </c>
      <c r="N154" s="7">
        <f t="shared" si="67"/>
        <v>18.862557912382471</v>
      </c>
      <c r="O154" t="str">
        <f t="shared" si="68"/>
        <v>NO</v>
      </c>
      <c r="P154" t="str">
        <f t="shared" si="69"/>
        <v>NO</v>
      </c>
      <c r="Q154" s="5" t="str">
        <f t="shared" si="70"/>
        <v>NO</v>
      </c>
      <c r="R154" s="5" t="str">
        <f t="shared" si="71"/>
        <v>OK</v>
      </c>
      <c r="S154" s="5" t="str">
        <f t="shared" si="72"/>
        <v>OK</v>
      </c>
      <c r="T154" s="4" t="str">
        <f t="shared" si="73"/>
        <v>OK</v>
      </c>
    </row>
    <row r="155" spans="3:20" x14ac:dyDescent="0.25">
      <c r="C155" s="3">
        <f t="shared" si="74"/>
        <v>0.34435320000000014</v>
      </c>
      <c r="D155" s="6">
        <v>40000</v>
      </c>
      <c r="E155" s="6">
        <v>10</v>
      </c>
      <c r="F155">
        <f>LOOKUP(E155,'Angle Percentile'!$E$3:$F$10)</f>
        <v>67</v>
      </c>
      <c r="G155">
        <f t="shared" si="75"/>
        <v>0.17364817766693033</v>
      </c>
      <c r="H155" s="6">
        <f t="shared" si="63"/>
        <v>0.17453292519943295</v>
      </c>
      <c r="I155" s="6">
        <v>45</v>
      </c>
      <c r="J155">
        <f>LOOKUP(I155,'Speed Percentiles'!$E$15:$F$17)</f>
        <v>51.396000000000015</v>
      </c>
      <c r="K155" s="6">
        <f t="shared" si="64"/>
        <v>18143.634079187894</v>
      </c>
      <c r="L155" s="6">
        <f t="shared" si="65"/>
        <v>20.116800000000001</v>
      </c>
      <c r="M155" s="6">
        <f t="shared" si="66"/>
        <v>110.70125367551876</v>
      </c>
      <c r="N155" s="7">
        <f t="shared" si="67"/>
        <v>40.236236867163527</v>
      </c>
      <c r="O155" t="str">
        <f t="shared" si="68"/>
        <v>NO</v>
      </c>
      <c r="P155" t="str">
        <f t="shared" si="69"/>
        <v>NO</v>
      </c>
      <c r="Q155" s="5" t="str">
        <f t="shared" si="70"/>
        <v>NO</v>
      </c>
      <c r="R155" s="5" t="str">
        <f t="shared" si="71"/>
        <v>NO</v>
      </c>
      <c r="S155" s="5" t="str">
        <f t="shared" si="72"/>
        <v>NO</v>
      </c>
      <c r="T155" s="4" t="str">
        <f t="shared" si="73"/>
        <v>NO</v>
      </c>
    </row>
    <row r="156" spans="3:20" x14ac:dyDescent="0.25">
      <c r="C156" s="3">
        <f t="shared" si="74"/>
        <v>0.35225120000000021</v>
      </c>
      <c r="D156" s="6">
        <v>40000</v>
      </c>
      <c r="E156" s="6">
        <v>3</v>
      </c>
      <c r="F156">
        <f>LOOKUP(E156,'Angle Percentile'!$E$3:$F$10)</f>
        <v>98</v>
      </c>
      <c r="G156">
        <f t="shared" si="75"/>
        <v>5.2335956242943828E-2</v>
      </c>
      <c r="H156" s="6">
        <f t="shared" si="63"/>
        <v>5.2359877559829883E-2</v>
      </c>
      <c r="I156" s="6">
        <v>55</v>
      </c>
      <c r="J156">
        <f>LOOKUP(I156,'Speed Percentiles'!$E$15:$F$17)</f>
        <v>35.944000000000017</v>
      </c>
      <c r="K156" s="6">
        <f t="shared" si="64"/>
        <v>18143.634079187894</v>
      </c>
      <c r="L156" s="6">
        <f t="shared" si="65"/>
        <v>24.587199999999999</v>
      </c>
      <c r="M156" s="6">
        <f t="shared" si="66"/>
        <v>15.021481179587928</v>
      </c>
      <c r="N156" s="7">
        <f t="shared" si="67"/>
        <v>7.3309124392306675</v>
      </c>
      <c r="O156" t="str">
        <f t="shared" si="68"/>
        <v>NO</v>
      </c>
      <c r="P156" t="str">
        <f t="shared" si="69"/>
        <v>OK</v>
      </c>
      <c r="Q156" s="5" t="str">
        <f t="shared" si="70"/>
        <v>OK</v>
      </c>
      <c r="R156" s="5" t="str">
        <f t="shared" si="71"/>
        <v>OK</v>
      </c>
      <c r="S156" s="5" t="str">
        <f t="shared" si="72"/>
        <v>OK</v>
      </c>
      <c r="T156" s="4" t="str">
        <f t="shared" si="73"/>
        <v>OK</v>
      </c>
    </row>
    <row r="157" spans="3:20" x14ac:dyDescent="0.25">
      <c r="C157" s="3">
        <f t="shared" si="74"/>
        <v>0.46256400000000014</v>
      </c>
      <c r="D157" s="6">
        <v>40000</v>
      </c>
      <c r="E157" s="6">
        <v>5</v>
      </c>
      <c r="F157">
        <f>LOOKUP(E157,'Angle Percentile'!$E$3:$F$10)</f>
        <v>90</v>
      </c>
      <c r="G157">
        <f t="shared" si="75"/>
        <v>8.7155742747658166E-2</v>
      </c>
      <c r="H157" s="6">
        <f t="shared" si="63"/>
        <v>8.7266462599716474E-2</v>
      </c>
      <c r="I157" s="6">
        <v>45</v>
      </c>
      <c r="J157">
        <f>LOOKUP(I157,'Speed Percentiles'!$E$15:$F$17)</f>
        <v>51.396000000000015</v>
      </c>
      <c r="K157" s="6">
        <f t="shared" si="64"/>
        <v>18143.634079187894</v>
      </c>
      <c r="L157" s="6">
        <f t="shared" si="65"/>
        <v>20.116800000000001</v>
      </c>
      <c r="M157" s="6">
        <f t="shared" si="66"/>
        <v>27.887147636216906</v>
      </c>
      <c r="N157" s="7">
        <f t="shared" si="67"/>
        <v>13.066670999198189</v>
      </c>
      <c r="O157" t="str">
        <f t="shared" si="68"/>
        <v>NO</v>
      </c>
      <c r="P157" t="str">
        <f t="shared" si="69"/>
        <v>NO</v>
      </c>
      <c r="Q157" s="5" t="str">
        <f t="shared" si="70"/>
        <v>OK</v>
      </c>
      <c r="R157" s="5" t="str">
        <f t="shared" si="71"/>
        <v>OK</v>
      </c>
      <c r="S157" s="5" t="str">
        <f t="shared" si="72"/>
        <v>OK</v>
      </c>
      <c r="T157" s="4" t="str">
        <f t="shared" si="73"/>
        <v>OK</v>
      </c>
    </row>
    <row r="158" spans="3:20" x14ac:dyDescent="0.25">
      <c r="C158" s="3">
        <f t="shared" si="74"/>
        <v>0.50368080000000015</v>
      </c>
      <c r="D158" s="6">
        <v>40000</v>
      </c>
      <c r="E158" s="6">
        <v>3</v>
      </c>
      <c r="F158">
        <f>LOOKUP(E158,'Angle Percentile'!$E$3:$F$10)</f>
        <v>98</v>
      </c>
      <c r="G158">
        <f t="shared" si="75"/>
        <v>5.2335956242943828E-2</v>
      </c>
      <c r="H158" s="6">
        <f t="shared" si="63"/>
        <v>5.2359877559829883E-2</v>
      </c>
      <c r="I158" s="6">
        <v>45</v>
      </c>
      <c r="J158">
        <f>LOOKUP(I158,'Speed Percentiles'!$E$15:$F$17)</f>
        <v>51.396000000000015</v>
      </c>
      <c r="K158" s="6">
        <f t="shared" si="64"/>
        <v>18143.634079187894</v>
      </c>
      <c r="L158" s="6">
        <f t="shared" si="65"/>
        <v>20.116800000000001</v>
      </c>
      <c r="M158" s="6">
        <f t="shared" si="66"/>
        <v>10.055702277244812</v>
      </c>
      <c r="N158" s="7">
        <f t="shared" si="67"/>
        <v>4.9082967568403646</v>
      </c>
      <c r="O158" t="str">
        <f t="shared" si="68"/>
        <v>OK</v>
      </c>
      <c r="P158" t="str">
        <f t="shared" si="69"/>
        <v>OK</v>
      </c>
      <c r="Q158" s="5" t="str">
        <f t="shared" si="70"/>
        <v>OK</v>
      </c>
      <c r="R158" s="5" t="str">
        <f t="shared" si="71"/>
        <v>OK</v>
      </c>
      <c r="S158" s="5" t="str">
        <f t="shared" si="72"/>
        <v>OK</v>
      </c>
      <c r="T158" s="4" t="str">
        <f t="shared" si="73"/>
        <v>OK</v>
      </c>
    </row>
    <row r="159" spans="3:20" x14ac:dyDescent="0.25">
      <c r="C159" s="3">
        <f t="shared" si="74"/>
        <v>9.0164800000000087E-2</v>
      </c>
      <c r="D159" s="6">
        <v>50000</v>
      </c>
      <c r="E159" s="6">
        <v>15</v>
      </c>
      <c r="F159">
        <f>LOOKUP(E159,'Angle Percentile'!$E$3:$F$10)</f>
        <v>44</v>
      </c>
      <c r="G159">
        <f t="shared" si="75"/>
        <v>0.25881904510252074</v>
      </c>
      <c r="H159" s="6">
        <f t="shared" si="63"/>
        <v>0.26179938779914941</v>
      </c>
      <c r="I159" s="6">
        <v>65</v>
      </c>
      <c r="J159">
        <f>LOOKUP(I159,'Speed Percentiles'!$E$15:$F$17)</f>
        <v>20.492000000000019</v>
      </c>
      <c r="K159" s="6">
        <f t="shared" si="64"/>
        <v>22679.542598984866</v>
      </c>
      <c r="L159" s="6">
        <f t="shared" si="65"/>
        <v>29.057599999999997</v>
      </c>
      <c r="M159" s="6">
        <f t="shared" si="66"/>
        <v>641.38121954636586</v>
      </c>
      <c r="N159" s="7">
        <f t="shared" si="67"/>
        <v>9999</v>
      </c>
      <c r="O159" t="str">
        <f t="shared" si="68"/>
        <v>NO</v>
      </c>
      <c r="P159" t="str">
        <f t="shared" si="69"/>
        <v>NO</v>
      </c>
      <c r="Q159" s="5" t="str">
        <f t="shared" si="70"/>
        <v>NO</v>
      </c>
      <c r="R159" s="5" t="str">
        <f t="shared" si="71"/>
        <v>NO</v>
      </c>
      <c r="S159" s="5" t="str">
        <f t="shared" si="72"/>
        <v>NO</v>
      </c>
      <c r="T159" s="4" t="str">
        <f t="shared" si="73"/>
        <v>NO</v>
      </c>
    </row>
    <row r="160" spans="3:20" x14ac:dyDescent="0.25">
      <c r="C160" s="3">
        <f t="shared" si="74"/>
        <v>0.13729640000000015</v>
      </c>
      <c r="D160" s="6">
        <v>50000</v>
      </c>
      <c r="E160" s="6">
        <v>10</v>
      </c>
      <c r="F160">
        <f>LOOKUP(E160,'Angle Percentile'!$E$3:$F$10)</f>
        <v>67</v>
      </c>
      <c r="G160">
        <f t="shared" si="75"/>
        <v>0.17364817766693033</v>
      </c>
      <c r="H160" s="6">
        <f t="shared" si="63"/>
        <v>0.17453292519943295</v>
      </c>
      <c r="I160" s="6">
        <v>65</v>
      </c>
      <c r="J160">
        <f>LOOKUP(I160,'Speed Percentiles'!$E$15:$F$17)</f>
        <v>20.492000000000019</v>
      </c>
      <c r="K160" s="6">
        <f t="shared" si="64"/>
        <v>22679.542598984866</v>
      </c>
      <c r="L160" s="6">
        <f t="shared" si="65"/>
        <v>29.057599999999997</v>
      </c>
      <c r="M160" s="6">
        <f t="shared" si="66"/>
        <v>288.71160295004114</v>
      </c>
      <c r="N160" s="7">
        <f t="shared" si="67"/>
        <v>9999</v>
      </c>
      <c r="O160" t="str">
        <f t="shared" si="68"/>
        <v>NO</v>
      </c>
      <c r="P160" t="str">
        <f t="shared" si="69"/>
        <v>NO</v>
      </c>
      <c r="Q160" s="5" t="str">
        <f t="shared" si="70"/>
        <v>NO</v>
      </c>
      <c r="R160" s="5" t="str">
        <f t="shared" si="71"/>
        <v>NO</v>
      </c>
      <c r="S160" s="5" t="str">
        <f t="shared" si="72"/>
        <v>NO</v>
      </c>
      <c r="T160" s="4" t="str">
        <f t="shared" si="73"/>
        <v>NO</v>
      </c>
    </row>
    <row r="161" spans="3:20" x14ac:dyDescent="0.25">
      <c r="C161" s="3">
        <f t="shared" si="74"/>
        <v>0.18442800000000015</v>
      </c>
      <c r="D161" s="6">
        <v>50000</v>
      </c>
      <c r="E161" s="6">
        <v>5</v>
      </c>
      <c r="F161">
        <f>LOOKUP(E161,'Angle Percentile'!$E$3:$F$10)</f>
        <v>90</v>
      </c>
      <c r="G161">
        <f t="shared" si="75"/>
        <v>8.7155742747658166E-2</v>
      </c>
      <c r="H161" s="6">
        <f t="shared" si="63"/>
        <v>8.7266462599716474E-2</v>
      </c>
      <c r="I161" s="6">
        <v>65</v>
      </c>
      <c r="J161">
        <f>LOOKUP(I161,'Speed Percentiles'!$E$15:$F$17)</f>
        <v>20.492000000000019</v>
      </c>
      <c r="K161" s="6">
        <f t="shared" si="64"/>
        <v>22679.542598984866</v>
      </c>
      <c r="L161" s="6">
        <f t="shared" si="65"/>
        <v>29.057599999999997</v>
      </c>
      <c r="M161" s="6">
        <f t="shared" si="66"/>
        <v>72.730369606800238</v>
      </c>
      <c r="N161" s="7">
        <f t="shared" si="67"/>
        <v>30.047027760254522</v>
      </c>
      <c r="O161" t="str">
        <f t="shared" si="68"/>
        <v>NO</v>
      </c>
      <c r="P161" t="str">
        <f t="shared" si="69"/>
        <v>NO</v>
      </c>
      <c r="Q161" s="5" t="str">
        <f t="shared" si="70"/>
        <v>NO</v>
      </c>
      <c r="R161" s="5" t="str">
        <f t="shared" si="71"/>
        <v>NO</v>
      </c>
      <c r="S161" s="5" t="str">
        <f t="shared" si="72"/>
        <v>NO</v>
      </c>
      <c r="T161" s="4" t="str">
        <f t="shared" si="73"/>
        <v>OK</v>
      </c>
    </row>
    <row r="162" spans="3:20" x14ac:dyDescent="0.25">
      <c r="C162" s="3">
        <f t="shared" si="74"/>
        <v>0.20082160000000018</v>
      </c>
      <c r="D162" s="6">
        <v>50000</v>
      </c>
      <c r="E162" s="6">
        <v>3</v>
      </c>
      <c r="F162">
        <f>LOOKUP(E162,'Angle Percentile'!$E$3:$F$10)</f>
        <v>98</v>
      </c>
      <c r="G162">
        <f t="shared" si="75"/>
        <v>5.2335956242943828E-2</v>
      </c>
      <c r="H162" s="6">
        <f t="shared" si="63"/>
        <v>5.2359877559829883E-2</v>
      </c>
      <c r="I162" s="6">
        <v>65</v>
      </c>
      <c r="J162">
        <f>LOOKUP(I162,'Speed Percentiles'!$E$15:$F$17)</f>
        <v>20.492000000000019</v>
      </c>
      <c r="K162" s="6">
        <f t="shared" si="64"/>
        <v>22679.542598984866</v>
      </c>
      <c r="L162" s="6">
        <f t="shared" si="65"/>
        <v>29.057599999999997</v>
      </c>
      <c r="M162" s="6">
        <f t="shared" si="66"/>
        <v>26.225519827999584</v>
      </c>
      <c r="N162" s="7">
        <f t="shared" si="67"/>
        <v>12.422564072623789</v>
      </c>
      <c r="O162" t="str">
        <f t="shared" si="68"/>
        <v>NO</v>
      </c>
      <c r="P162" t="str">
        <f t="shared" si="69"/>
        <v>NO</v>
      </c>
      <c r="Q162" s="5" t="str">
        <f t="shared" si="70"/>
        <v>OK</v>
      </c>
      <c r="R162" s="5" t="str">
        <f t="shared" si="71"/>
        <v>OK</v>
      </c>
      <c r="S162" s="5" t="str">
        <f t="shared" si="72"/>
        <v>OK</v>
      </c>
      <c r="T162" s="4" t="str">
        <f t="shared" si="73"/>
        <v>OK</v>
      </c>
    </row>
    <row r="163" spans="3:20" x14ac:dyDescent="0.25">
      <c r="C163" s="3">
        <f t="shared" si="74"/>
        <v>0.15815360000000006</v>
      </c>
      <c r="D163" s="6">
        <v>50000</v>
      </c>
      <c r="E163" s="6">
        <v>15</v>
      </c>
      <c r="F163">
        <f>LOOKUP(E163,'Angle Percentile'!$E$3:$F$10)</f>
        <v>44</v>
      </c>
      <c r="G163">
        <f t="shared" si="75"/>
        <v>0.25881904510252074</v>
      </c>
      <c r="H163" s="6">
        <f t="shared" si="63"/>
        <v>0.26179938779914941</v>
      </c>
      <c r="I163" s="6">
        <v>55</v>
      </c>
      <c r="J163">
        <f>LOOKUP(I163,'Speed Percentiles'!$E$15:$F$17)</f>
        <v>35.944000000000017</v>
      </c>
      <c r="K163" s="6">
        <f t="shared" si="64"/>
        <v>22679.542598984866</v>
      </c>
      <c r="L163" s="6">
        <f t="shared" si="65"/>
        <v>24.587199999999999</v>
      </c>
      <c r="M163" s="6">
        <f t="shared" si="66"/>
        <v>459.21377257461694</v>
      </c>
      <c r="N163" s="7">
        <f t="shared" si="67"/>
        <v>9999</v>
      </c>
      <c r="O163" t="str">
        <f t="shared" si="68"/>
        <v>NO</v>
      </c>
      <c r="P163" t="str">
        <f t="shared" si="69"/>
        <v>NO</v>
      </c>
      <c r="Q163" s="5" t="str">
        <f t="shared" si="70"/>
        <v>NO</v>
      </c>
      <c r="R163" s="5" t="str">
        <f t="shared" si="71"/>
        <v>NO</v>
      </c>
      <c r="S163" s="5" t="str">
        <f t="shared" si="72"/>
        <v>NO</v>
      </c>
      <c r="T163" s="4" t="str">
        <f t="shared" si="73"/>
        <v>NO</v>
      </c>
    </row>
    <row r="164" spans="3:20" x14ac:dyDescent="0.25">
      <c r="C164" s="3">
        <f t="shared" si="74"/>
        <v>0.22614240000000005</v>
      </c>
      <c r="D164" s="6">
        <v>50000</v>
      </c>
      <c r="E164" s="6">
        <v>15</v>
      </c>
      <c r="F164">
        <f>LOOKUP(E164,'Angle Percentile'!$E$3:$F$10)</f>
        <v>44</v>
      </c>
      <c r="G164">
        <f t="shared" si="75"/>
        <v>0.25881904510252074</v>
      </c>
      <c r="H164" s="6">
        <f t="shared" si="63"/>
        <v>0.26179938779914941</v>
      </c>
      <c r="I164" s="6">
        <v>45</v>
      </c>
      <c r="J164">
        <f>LOOKUP(I164,'Speed Percentiles'!$E$15:$F$17)</f>
        <v>51.396000000000015</v>
      </c>
      <c r="K164" s="6">
        <f t="shared" si="64"/>
        <v>22679.542598984866</v>
      </c>
      <c r="L164" s="6">
        <f t="shared" si="65"/>
        <v>20.116800000000001</v>
      </c>
      <c r="M164" s="6">
        <f t="shared" si="66"/>
        <v>307.4075667648263</v>
      </c>
      <c r="N164" s="7">
        <f t="shared" si="67"/>
        <v>9999</v>
      </c>
      <c r="O164" t="str">
        <f t="shared" si="68"/>
        <v>NO</v>
      </c>
      <c r="P164" t="str">
        <f t="shared" si="69"/>
        <v>NO</v>
      </c>
      <c r="Q164" s="5" t="str">
        <f t="shared" si="70"/>
        <v>NO</v>
      </c>
      <c r="R164" s="5" t="str">
        <f t="shared" si="71"/>
        <v>NO</v>
      </c>
      <c r="S164" s="5" t="str">
        <f t="shared" si="72"/>
        <v>NO</v>
      </c>
      <c r="T164" s="4" t="str">
        <f t="shared" si="73"/>
        <v>NO</v>
      </c>
    </row>
    <row r="165" spans="3:20" x14ac:dyDescent="0.25">
      <c r="C165" s="3">
        <f t="shared" si="74"/>
        <v>0.24082480000000012</v>
      </c>
      <c r="D165" s="6">
        <v>50000</v>
      </c>
      <c r="E165" s="6">
        <v>10</v>
      </c>
      <c r="F165">
        <f>LOOKUP(E165,'Angle Percentile'!$E$3:$F$10)</f>
        <v>67</v>
      </c>
      <c r="G165">
        <f t="shared" si="75"/>
        <v>0.17364817766693033</v>
      </c>
      <c r="H165" s="6">
        <f t="shared" si="63"/>
        <v>0.17453292519943295</v>
      </c>
      <c r="I165" s="6">
        <v>55</v>
      </c>
      <c r="J165">
        <f>LOOKUP(I165,'Speed Percentiles'!$E$15:$F$17)</f>
        <v>35.944000000000017</v>
      </c>
      <c r="K165" s="6">
        <f t="shared" si="64"/>
        <v>22679.542598984866</v>
      </c>
      <c r="L165" s="6">
        <f t="shared" si="65"/>
        <v>24.587199999999999</v>
      </c>
      <c r="M165" s="6">
        <f t="shared" si="66"/>
        <v>206.71067430150879</v>
      </c>
      <c r="N165" s="7">
        <f t="shared" si="67"/>
        <v>9999</v>
      </c>
      <c r="O165" t="str">
        <f t="shared" si="68"/>
        <v>NO</v>
      </c>
      <c r="P165" t="str">
        <f t="shared" si="69"/>
        <v>NO</v>
      </c>
      <c r="Q165" s="5" t="str">
        <f t="shared" si="70"/>
        <v>NO</v>
      </c>
      <c r="R165" s="5" t="str">
        <f t="shared" si="71"/>
        <v>NO</v>
      </c>
      <c r="S165" s="5" t="str">
        <f t="shared" si="72"/>
        <v>NO</v>
      </c>
      <c r="T165" s="4" t="str">
        <f t="shared" si="73"/>
        <v>NO</v>
      </c>
    </row>
    <row r="166" spans="3:20" x14ac:dyDescent="0.25">
      <c r="C166" s="3">
        <f t="shared" si="74"/>
        <v>0.32349600000000017</v>
      </c>
      <c r="D166" s="6">
        <v>50000</v>
      </c>
      <c r="E166" s="6">
        <v>5</v>
      </c>
      <c r="F166">
        <f>LOOKUP(E166,'Angle Percentile'!$E$3:$F$10)</f>
        <v>90</v>
      </c>
      <c r="G166">
        <f t="shared" si="75"/>
        <v>8.7155742747658166E-2</v>
      </c>
      <c r="H166" s="6">
        <f t="shared" si="63"/>
        <v>8.7266462599716474E-2</v>
      </c>
      <c r="I166" s="6">
        <v>55</v>
      </c>
      <c r="J166">
        <f>LOOKUP(I166,'Speed Percentiles'!$E$15:$F$17)</f>
        <v>35.944000000000017</v>
      </c>
      <c r="K166" s="6">
        <f t="shared" si="64"/>
        <v>22679.542598984866</v>
      </c>
      <c r="L166" s="6">
        <f t="shared" si="65"/>
        <v>24.587199999999999</v>
      </c>
      <c r="M166" s="6">
        <f t="shared" si="66"/>
        <v>52.073223209602538</v>
      </c>
      <c r="N166" s="7">
        <f t="shared" si="67"/>
        <v>22.853197390478087</v>
      </c>
      <c r="O166" t="str">
        <f t="shared" si="68"/>
        <v>NO</v>
      </c>
      <c r="P166" t="str">
        <f t="shared" si="69"/>
        <v>NO</v>
      </c>
      <c r="Q166" s="5" t="str">
        <f t="shared" si="70"/>
        <v>NO</v>
      </c>
      <c r="R166" s="5" t="str">
        <f t="shared" si="71"/>
        <v>OK</v>
      </c>
      <c r="S166" s="5" t="str">
        <f t="shared" si="72"/>
        <v>OK</v>
      </c>
      <c r="T166" s="4" t="str">
        <f t="shared" si="73"/>
        <v>OK</v>
      </c>
    </row>
    <row r="167" spans="3:20" x14ac:dyDescent="0.25">
      <c r="C167" s="3">
        <f t="shared" si="74"/>
        <v>0.34435320000000014</v>
      </c>
      <c r="D167" s="6">
        <v>50000</v>
      </c>
      <c r="E167" s="6">
        <v>10</v>
      </c>
      <c r="F167">
        <f>LOOKUP(E167,'Angle Percentile'!$E$3:$F$10)</f>
        <v>67</v>
      </c>
      <c r="G167">
        <f t="shared" si="75"/>
        <v>0.17364817766693033</v>
      </c>
      <c r="H167" s="6">
        <f t="shared" si="63"/>
        <v>0.17453292519943295</v>
      </c>
      <c r="I167" s="6">
        <v>45</v>
      </c>
      <c r="J167">
        <f>LOOKUP(I167,'Speed Percentiles'!$E$15:$F$17)</f>
        <v>51.396000000000015</v>
      </c>
      <c r="K167" s="6">
        <f t="shared" si="64"/>
        <v>22679.542598984866</v>
      </c>
      <c r="L167" s="6">
        <f t="shared" si="65"/>
        <v>20.116800000000001</v>
      </c>
      <c r="M167" s="6">
        <f t="shared" si="66"/>
        <v>138.37656709439847</v>
      </c>
      <c r="N167" s="7">
        <f t="shared" si="67"/>
        <v>45.39529608395442</v>
      </c>
      <c r="O167" t="str">
        <f t="shared" si="68"/>
        <v>NO</v>
      </c>
      <c r="P167" t="str">
        <f t="shared" si="69"/>
        <v>NO</v>
      </c>
      <c r="Q167" s="5" t="str">
        <f t="shared" si="70"/>
        <v>NO</v>
      </c>
      <c r="R167" s="5" t="str">
        <f t="shared" si="71"/>
        <v>NO</v>
      </c>
      <c r="S167" s="5" t="str">
        <f t="shared" si="72"/>
        <v>NO</v>
      </c>
      <c r="T167" s="4" t="str">
        <f t="shared" si="73"/>
        <v>NO</v>
      </c>
    </row>
    <row r="168" spans="3:20" x14ac:dyDescent="0.25">
      <c r="C168" s="3">
        <f t="shared" si="74"/>
        <v>0.35225120000000021</v>
      </c>
      <c r="D168" s="6">
        <v>50000</v>
      </c>
      <c r="E168" s="6">
        <v>3</v>
      </c>
      <c r="F168">
        <f>LOOKUP(E168,'Angle Percentile'!$E$3:$F$10)</f>
        <v>98</v>
      </c>
      <c r="G168">
        <f t="shared" si="75"/>
        <v>5.2335956242943828E-2</v>
      </c>
      <c r="H168" s="6">
        <f t="shared" si="63"/>
        <v>5.2359877559829883E-2</v>
      </c>
      <c r="I168" s="6">
        <v>55</v>
      </c>
      <c r="J168">
        <f>LOOKUP(I168,'Speed Percentiles'!$E$15:$F$17)</f>
        <v>35.944000000000017</v>
      </c>
      <c r="K168" s="6">
        <f t="shared" si="64"/>
        <v>22679.542598984866</v>
      </c>
      <c r="L168" s="6">
        <f t="shared" si="65"/>
        <v>24.587199999999999</v>
      </c>
      <c r="M168" s="6">
        <f t="shared" si="66"/>
        <v>18.776851474484911</v>
      </c>
      <c r="N168" s="7">
        <f t="shared" si="67"/>
        <v>9.0386405490383339</v>
      </c>
      <c r="O168" t="str">
        <f t="shared" si="68"/>
        <v>NO</v>
      </c>
      <c r="P168" t="str">
        <f t="shared" si="69"/>
        <v>OK</v>
      </c>
      <c r="Q168" s="5" t="str">
        <f t="shared" si="70"/>
        <v>OK</v>
      </c>
      <c r="R168" s="5" t="str">
        <f t="shared" si="71"/>
        <v>OK</v>
      </c>
      <c r="S168" s="5" t="str">
        <f t="shared" si="72"/>
        <v>OK</v>
      </c>
      <c r="T168" s="4" t="str">
        <f t="shared" si="73"/>
        <v>OK</v>
      </c>
    </row>
    <row r="169" spans="3:20" x14ac:dyDescent="0.25">
      <c r="C169" s="3">
        <f t="shared" si="74"/>
        <v>0.46256400000000014</v>
      </c>
      <c r="D169" s="6">
        <v>50000</v>
      </c>
      <c r="E169" s="6">
        <v>5</v>
      </c>
      <c r="F169">
        <f>LOOKUP(E169,'Angle Percentile'!$E$3:$F$10)</f>
        <v>90</v>
      </c>
      <c r="G169">
        <f t="shared" si="75"/>
        <v>8.7155742747658166E-2</v>
      </c>
      <c r="H169" s="6">
        <f t="shared" si="63"/>
        <v>8.7266462599716474E-2</v>
      </c>
      <c r="I169" s="6">
        <v>45</v>
      </c>
      <c r="J169">
        <f>LOOKUP(I169,'Speed Percentiles'!$E$15:$F$17)</f>
        <v>51.396000000000015</v>
      </c>
      <c r="K169" s="6">
        <f t="shared" si="64"/>
        <v>22679.542598984866</v>
      </c>
      <c r="L169" s="6">
        <f t="shared" si="65"/>
        <v>20.116800000000001</v>
      </c>
      <c r="M169" s="6">
        <f t="shared" si="66"/>
        <v>34.858934545271126</v>
      </c>
      <c r="N169" s="7">
        <f t="shared" si="67"/>
        <v>16.108338748997731</v>
      </c>
      <c r="O169" t="str">
        <f t="shared" si="68"/>
        <v>NO</v>
      </c>
      <c r="P169" t="str">
        <f t="shared" si="69"/>
        <v>NO</v>
      </c>
      <c r="Q169" s="5" t="str">
        <f t="shared" si="70"/>
        <v>OK</v>
      </c>
      <c r="R169" s="5" t="str">
        <f t="shared" si="71"/>
        <v>OK</v>
      </c>
      <c r="S169" s="5" t="str">
        <f t="shared" si="72"/>
        <v>OK</v>
      </c>
      <c r="T169" s="4" t="str">
        <f t="shared" si="73"/>
        <v>OK</v>
      </c>
    </row>
    <row r="170" spans="3:20" x14ac:dyDescent="0.25">
      <c r="C170" s="3">
        <f t="shared" si="74"/>
        <v>0.50368080000000015</v>
      </c>
      <c r="D170" s="6">
        <v>50000</v>
      </c>
      <c r="E170" s="6">
        <v>3</v>
      </c>
      <c r="F170">
        <f>LOOKUP(E170,'Angle Percentile'!$E$3:$F$10)</f>
        <v>98</v>
      </c>
      <c r="G170">
        <f t="shared" si="75"/>
        <v>5.2335956242943828E-2</v>
      </c>
      <c r="H170" s="6">
        <f t="shared" si="63"/>
        <v>5.2359877559829883E-2</v>
      </c>
      <c r="I170" s="6">
        <v>45</v>
      </c>
      <c r="J170">
        <f>LOOKUP(I170,'Speed Percentiles'!$E$15:$F$17)</f>
        <v>51.396000000000015</v>
      </c>
      <c r="K170" s="6">
        <f t="shared" si="64"/>
        <v>22679.542598984866</v>
      </c>
      <c r="L170" s="6">
        <f t="shared" si="65"/>
        <v>20.116800000000001</v>
      </c>
      <c r="M170" s="6">
        <f t="shared" si="66"/>
        <v>12.569627846556015</v>
      </c>
      <c r="N170" s="7">
        <f t="shared" si="67"/>
        <v>6.0853709460504559</v>
      </c>
      <c r="O170" t="str">
        <f t="shared" si="68"/>
        <v>NO</v>
      </c>
      <c r="P170" t="str">
        <f t="shared" si="69"/>
        <v>OK</v>
      </c>
      <c r="Q170" s="5" t="str">
        <f t="shared" si="70"/>
        <v>OK</v>
      </c>
      <c r="R170" s="5" t="str">
        <f t="shared" si="71"/>
        <v>OK</v>
      </c>
      <c r="S170" s="5" t="str">
        <f t="shared" si="72"/>
        <v>OK</v>
      </c>
      <c r="T170" s="4" t="str">
        <f t="shared" si="73"/>
        <v>OK</v>
      </c>
    </row>
    <row r="171" spans="3:20" x14ac:dyDescent="0.25">
      <c r="C171" s="3">
        <f t="shared" si="74"/>
        <v>9.0164800000000087E-2</v>
      </c>
      <c r="D171" s="6">
        <v>60000</v>
      </c>
      <c r="E171" s="6">
        <v>15</v>
      </c>
      <c r="F171">
        <f>LOOKUP(E171,'Angle Percentile'!$E$3:$F$10)</f>
        <v>44</v>
      </c>
      <c r="G171">
        <f t="shared" si="75"/>
        <v>0.25881904510252074</v>
      </c>
      <c r="H171" s="6">
        <f t="shared" si="63"/>
        <v>0.26179938779914941</v>
      </c>
      <c r="I171" s="6">
        <v>65</v>
      </c>
      <c r="J171">
        <f>LOOKUP(I171,'Speed Percentiles'!$E$15:$F$17)</f>
        <v>20.492000000000019</v>
      </c>
      <c r="K171" s="6">
        <f t="shared" si="64"/>
        <v>27215.451118781839</v>
      </c>
      <c r="L171" s="6">
        <f t="shared" si="65"/>
        <v>29.057599999999997</v>
      </c>
      <c r="M171" s="6">
        <f t="shared" si="66"/>
        <v>769.65746345563912</v>
      </c>
      <c r="N171" s="7">
        <f t="shared" si="67"/>
        <v>9999</v>
      </c>
      <c r="O171" t="str">
        <f t="shared" si="68"/>
        <v>NO</v>
      </c>
      <c r="P171" t="str">
        <f t="shared" si="69"/>
        <v>NO</v>
      </c>
      <c r="Q171" s="5" t="str">
        <f t="shared" si="70"/>
        <v>NO</v>
      </c>
      <c r="R171" s="5" t="str">
        <f t="shared" si="71"/>
        <v>NO</v>
      </c>
      <c r="S171" s="5" t="str">
        <f t="shared" si="72"/>
        <v>NO</v>
      </c>
      <c r="T171" s="4" t="str">
        <f t="shared" si="73"/>
        <v>NO</v>
      </c>
    </row>
    <row r="172" spans="3:20" x14ac:dyDescent="0.25">
      <c r="C172" s="3">
        <f t="shared" si="74"/>
        <v>0.13729640000000015</v>
      </c>
      <c r="D172" s="6">
        <v>60000</v>
      </c>
      <c r="E172" s="6">
        <v>10</v>
      </c>
      <c r="F172">
        <f>LOOKUP(E172,'Angle Percentile'!$E$3:$F$10)</f>
        <v>67</v>
      </c>
      <c r="G172">
        <f t="shared" si="75"/>
        <v>0.17364817766693033</v>
      </c>
      <c r="H172" s="6">
        <f t="shared" si="63"/>
        <v>0.17453292519943295</v>
      </c>
      <c r="I172" s="6">
        <v>65</v>
      </c>
      <c r="J172">
        <f>LOOKUP(I172,'Speed Percentiles'!$E$15:$F$17)</f>
        <v>20.492000000000019</v>
      </c>
      <c r="K172" s="6">
        <f t="shared" si="64"/>
        <v>27215.451118781839</v>
      </c>
      <c r="L172" s="6">
        <f t="shared" si="65"/>
        <v>29.057599999999997</v>
      </c>
      <c r="M172" s="6">
        <f t="shared" si="66"/>
        <v>346.45392354004935</v>
      </c>
      <c r="N172" s="7">
        <f t="shared" si="67"/>
        <v>9999</v>
      </c>
      <c r="O172" t="str">
        <f t="shared" si="68"/>
        <v>NO</v>
      </c>
      <c r="P172" t="str">
        <f t="shared" si="69"/>
        <v>NO</v>
      </c>
      <c r="Q172" s="5" t="str">
        <f t="shared" si="70"/>
        <v>NO</v>
      </c>
      <c r="R172" s="5" t="str">
        <f t="shared" si="71"/>
        <v>NO</v>
      </c>
      <c r="S172" s="5" t="str">
        <f t="shared" si="72"/>
        <v>NO</v>
      </c>
      <c r="T172" s="4" t="str">
        <f t="shared" si="73"/>
        <v>NO</v>
      </c>
    </row>
    <row r="173" spans="3:20" x14ac:dyDescent="0.25">
      <c r="C173" s="3">
        <f t="shared" si="74"/>
        <v>0.18442800000000015</v>
      </c>
      <c r="D173" s="6">
        <v>60000</v>
      </c>
      <c r="E173" s="6">
        <v>5</v>
      </c>
      <c r="F173">
        <f>LOOKUP(E173,'Angle Percentile'!$E$3:$F$10)</f>
        <v>90</v>
      </c>
      <c r="G173">
        <f t="shared" si="75"/>
        <v>8.7155742747658166E-2</v>
      </c>
      <c r="H173" s="6">
        <f t="shared" si="63"/>
        <v>8.7266462599716474E-2</v>
      </c>
      <c r="I173" s="6">
        <v>65</v>
      </c>
      <c r="J173">
        <f>LOOKUP(I173,'Speed Percentiles'!$E$15:$F$17)</f>
        <v>20.492000000000019</v>
      </c>
      <c r="K173" s="6">
        <f t="shared" si="64"/>
        <v>27215.451118781839</v>
      </c>
      <c r="L173" s="6">
        <f t="shared" si="65"/>
        <v>29.057599999999997</v>
      </c>
      <c r="M173" s="6">
        <f t="shared" si="66"/>
        <v>87.276443528160272</v>
      </c>
      <c r="N173" s="7">
        <f t="shared" si="67"/>
        <v>34.336433312305417</v>
      </c>
      <c r="O173" t="str">
        <f t="shared" si="68"/>
        <v>NO</v>
      </c>
      <c r="P173" t="str">
        <f t="shared" si="69"/>
        <v>NO</v>
      </c>
      <c r="Q173" s="5" t="str">
        <f t="shared" si="70"/>
        <v>NO</v>
      </c>
      <c r="R173" s="5" t="str">
        <f t="shared" si="71"/>
        <v>NO</v>
      </c>
      <c r="S173" s="5" t="str">
        <f t="shared" si="72"/>
        <v>NO</v>
      </c>
      <c r="T173" s="4" t="str">
        <f t="shared" si="73"/>
        <v>OK</v>
      </c>
    </row>
    <row r="174" spans="3:20" x14ac:dyDescent="0.25">
      <c r="C174" s="3">
        <f t="shared" si="74"/>
        <v>0.20082160000000018</v>
      </c>
      <c r="D174" s="6">
        <v>60000</v>
      </c>
      <c r="E174" s="6">
        <v>3</v>
      </c>
      <c r="F174">
        <f>LOOKUP(E174,'Angle Percentile'!$E$3:$F$10)</f>
        <v>98</v>
      </c>
      <c r="G174">
        <f t="shared" si="75"/>
        <v>5.2335956242943828E-2</v>
      </c>
      <c r="H174" s="6">
        <f t="shared" si="63"/>
        <v>5.2359877559829883E-2</v>
      </c>
      <c r="I174" s="6">
        <v>65</v>
      </c>
      <c r="J174">
        <f>LOOKUP(I174,'Speed Percentiles'!$E$15:$F$17)</f>
        <v>20.492000000000019</v>
      </c>
      <c r="K174" s="6">
        <f t="shared" si="64"/>
        <v>27215.451118781839</v>
      </c>
      <c r="L174" s="6">
        <f t="shared" si="65"/>
        <v>29.057599999999997</v>
      </c>
      <c r="M174" s="6">
        <f t="shared" si="66"/>
        <v>31.470623793599497</v>
      </c>
      <c r="N174" s="7">
        <f t="shared" si="67"/>
        <v>14.687076887148544</v>
      </c>
      <c r="O174" t="str">
        <f t="shared" si="68"/>
        <v>NO</v>
      </c>
      <c r="P174" t="str">
        <f t="shared" si="69"/>
        <v>NO</v>
      </c>
      <c r="Q174" s="5" t="str">
        <f t="shared" si="70"/>
        <v>OK</v>
      </c>
      <c r="R174" s="5" t="str">
        <f t="shared" si="71"/>
        <v>OK</v>
      </c>
      <c r="S174" s="5" t="str">
        <f t="shared" si="72"/>
        <v>OK</v>
      </c>
      <c r="T174" s="4" t="str">
        <f t="shared" si="73"/>
        <v>OK</v>
      </c>
    </row>
    <row r="175" spans="3:20" x14ac:dyDescent="0.25">
      <c r="C175" s="3">
        <f t="shared" si="74"/>
        <v>0.15815360000000006</v>
      </c>
      <c r="D175" s="6">
        <v>60000</v>
      </c>
      <c r="E175" s="6">
        <v>15</v>
      </c>
      <c r="F175">
        <f>LOOKUP(E175,'Angle Percentile'!$E$3:$F$10)</f>
        <v>44</v>
      </c>
      <c r="G175">
        <f t="shared" si="75"/>
        <v>0.25881904510252074</v>
      </c>
      <c r="H175" s="6">
        <f t="shared" ref="H175:H206" si="76">E175*PI()/180</f>
        <v>0.26179938779914941</v>
      </c>
      <c r="I175" s="6">
        <v>55</v>
      </c>
      <c r="J175">
        <f>LOOKUP(I175,'Speed Percentiles'!$E$15:$F$17)</f>
        <v>35.944000000000017</v>
      </c>
      <c r="K175" s="6">
        <f t="shared" ref="K175:K206" si="77">D175/2.20463</f>
        <v>27215.451118781839</v>
      </c>
      <c r="L175" s="6">
        <f t="shared" ref="L175:L206" si="78">(I175/3600)*(5280*0.3048)</f>
        <v>24.587199999999999</v>
      </c>
      <c r="M175" s="6">
        <f t="shared" ref="M175:M206" si="79">(0.5*(K175)*((SIN(H175))*L175)^2)/1000</f>
        <v>551.05652708954028</v>
      </c>
      <c r="N175" s="7">
        <f t="shared" ref="N175:N206" si="80">IF(M175&lt;150,ROUNDUP(-0.0013*(M175^2),1)+(0.508*M175),9999)</f>
        <v>9999</v>
      </c>
      <c r="O175" t="str">
        <f t="shared" ref="O175:O206" si="81">IF($N175+6&lt;11, "OK","NO")</f>
        <v>NO</v>
      </c>
      <c r="P175" t="str">
        <f t="shared" ref="P175:P206" si="82">IF($N175+6&lt;17, "OK","NO")</f>
        <v>NO</v>
      </c>
      <c r="Q175" s="5" t="str">
        <f t="shared" ref="Q175:Q206" si="83">IF($N175+6&lt;23, "OK","NO")</f>
        <v>NO</v>
      </c>
      <c r="R175" s="5" t="str">
        <f t="shared" ref="R175:R206" si="84">IF($N175+6&lt;29, "OK","NO")</f>
        <v>NO</v>
      </c>
      <c r="S175" s="5" t="str">
        <f t="shared" ref="S175:S206" si="85">IF($N175+6&lt;35, "OK","NO")</f>
        <v>NO</v>
      </c>
      <c r="T175" s="4" t="str">
        <f t="shared" ref="T175:T206" si="86">IF($N175+6&lt;41, "OK","NO")</f>
        <v>NO</v>
      </c>
    </row>
    <row r="176" spans="3:20" x14ac:dyDescent="0.25">
      <c r="C176" s="3">
        <f t="shared" si="74"/>
        <v>0.22614240000000005</v>
      </c>
      <c r="D176" s="6">
        <v>60000</v>
      </c>
      <c r="E176" s="6">
        <v>15</v>
      </c>
      <c r="F176">
        <f>LOOKUP(E176,'Angle Percentile'!$E$3:$F$10)</f>
        <v>44</v>
      </c>
      <c r="G176">
        <f t="shared" si="75"/>
        <v>0.25881904510252074</v>
      </c>
      <c r="H176" s="6">
        <f t="shared" si="76"/>
        <v>0.26179938779914941</v>
      </c>
      <c r="I176" s="6">
        <v>45</v>
      </c>
      <c r="J176">
        <f>LOOKUP(I176,'Speed Percentiles'!$E$15:$F$17)</f>
        <v>51.396000000000015</v>
      </c>
      <c r="K176" s="6">
        <f t="shared" si="77"/>
        <v>27215.451118781839</v>
      </c>
      <c r="L176" s="6">
        <f t="shared" si="78"/>
        <v>20.116800000000001</v>
      </c>
      <c r="M176" s="6">
        <f t="shared" si="79"/>
        <v>368.88908011779154</v>
      </c>
      <c r="N176" s="7">
        <f t="shared" si="80"/>
        <v>9999</v>
      </c>
      <c r="O176" t="str">
        <f t="shared" si="81"/>
        <v>NO</v>
      </c>
      <c r="P176" t="str">
        <f t="shared" si="82"/>
        <v>NO</v>
      </c>
      <c r="Q176" s="5" t="str">
        <f t="shared" si="83"/>
        <v>NO</v>
      </c>
      <c r="R176" s="5" t="str">
        <f t="shared" si="84"/>
        <v>NO</v>
      </c>
      <c r="S176" s="5" t="str">
        <f t="shared" si="85"/>
        <v>NO</v>
      </c>
      <c r="T176" s="4" t="str">
        <f t="shared" si="86"/>
        <v>NO</v>
      </c>
    </row>
    <row r="177" spans="3:20" x14ac:dyDescent="0.25">
      <c r="C177" s="3">
        <f t="shared" si="74"/>
        <v>0.24082480000000012</v>
      </c>
      <c r="D177" s="6">
        <v>60000</v>
      </c>
      <c r="E177" s="6">
        <v>10</v>
      </c>
      <c r="F177">
        <f>LOOKUP(E177,'Angle Percentile'!$E$3:$F$10)</f>
        <v>67</v>
      </c>
      <c r="G177">
        <f t="shared" si="75"/>
        <v>0.17364817766693033</v>
      </c>
      <c r="H177" s="6">
        <f t="shared" si="76"/>
        <v>0.17453292519943295</v>
      </c>
      <c r="I177" s="6">
        <v>55</v>
      </c>
      <c r="J177">
        <f>LOOKUP(I177,'Speed Percentiles'!$E$15:$F$17)</f>
        <v>35.944000000000017</v>
      </c>
      <c r="K177" s="6">
        <f t="shared" si="77"/>
        <v>27215.451118781839</v>
      </c>
      <c r="L177" s="6">
        <f t="shared" si="78"/>
        <v>24.587199999999999</v>
      </c>
      <c r="M177" s="6">
        <f t="shared" si="79"/>
        <v>248.05280916181056</v>
      </c>
      <c r="N177" s="7">
        <f t="shared" si="80"/>
        <v>9999</v>
      </c>
      <c r="O177" t="str">
        <f t="shared" si="81"/>
        <v>NO</v>
      </c>
      <c r="P177" t="str">
        <f t="shared" si="82"/>
        <v>NO</v>
      </c>
      <c r="Q177" s="5" t="str">
        <f t="shared" si="83"/>
        <v>NO</v>
      </c>
      <c r="R177" s="5" t="str">
        <f t="shared" si="84"/>
        <v>NO</v>
      </c>
      <c r="S177" s="5" t="str">
        <f t="shared" si="85"/>
        <v>NO</v>
      </c>
      <c r="T177" s="4" t="str">
        <f t="shared" si="86"/>
        <v>NO</v>
      </c>
    </row>
    <row r="178" spans="3:20" x14ac:dyDescent="0.25">
      <c r="C178" s="3">
        <f t="shared" si="74"/>
        <v>0.32349600000000017</v>
      </c>
      <c r="D178" s="6">
        <v>60000</v>
      </c>
      <c r="E178" s="6">
        <v>5</v>
      </c>
      <c r="F178">
        <f>LOOKUP(E178,'Angle Percentile'!$E$3:$F$10)</f>
        <v>90</v>
      </c>
      <c r="G178">
        <f t="shared" si="75"/>
        <v>8.7155742747658166E-2</v>
      </c>
      <c r="H178" s="6">
        <f t="shared" si="76"/>
        <v>8.7266462599716474E-2</v>
      </c>
      <c r="I178" s="6">
        <v>55</v>
      </c>
      <c r="J178">
        <f>LOOKUP(I178,'Speed Percentiles'!$E$15:$F$17)</f>
        <v>35.944000000000017</v>
      </c>
      <c r="K178" s="6">
        <f t="shared" si="77"/>
        <v>27215.451118781839</v>
      </c>
      <c r="L178" s="6">
        <f t="shared" si="78"/>
        <v>24.587199999999999</v>
      </c>
      <c r="M178" s="6">
        <f t="shared" si="79"/>
        <v>62.487867851523042</v>
      </c>
      <c r="N178" s="7">
        <f t="shared" si="80"/>
        <v>26.643836868573707</v>
      </c>
      <c r="O178" t="str">
        <f t="shared" si="81"/>
        <v>NO</v>
      </c>
      <c r="P178" t="str">
        <f t="shared" si="82"/>
        <v>NO</v>
      </c>
      <c r="Q178" s="5" t="str">
        <f t="shared" si="83"/>
        <v>NO</v>
      </c>
      <c r="R178" s="5" t="str">
        <f t="shared" si="84"/>
        <v>NO</v>
      </c>
      <c r="S178" s="5" t="str">
        <f t="shared" si="85"/>
        <v>OK</v>
      </c>
      <c r="T178" s="4" t="str">
        <f t="shared" si="86"/>
        <v>OK</v>
      </c>
    </row>
    <row r="179" spans="3:20" x14ac:dyDescent="0.25">
      <c r="C179" s="3">
        <f t="shared" si="74"/>
        <v>0.34435320000000014</v>
      </c>
      <c r="D179" s="6">
        <v>60000</v>
      </c>
      <c r="E179" s="6">
        <v>10</v>
      </c>
      <c r="F179">
        <f>LOOKUP(E179,'Angle Percentile'!$E$3:$F$10)</f>
        <v>67</v>
      </c>
      <c r="G179">
        <f t="shared" si="75"/>
        <v>0.17364817766693033</v>
      </c>
      <c r="H179" s="6">
        <f t="shared" si="76"/>
        <v>0.17453292519943295</v>
      </c>
      <c r="I179" s="6">
        <v>45</v>
      </c>
      <c r="J179">
        <f>LOOKUP(I179,'Speed Percentiles'!$E$15:$F$17)</f>
        <v>51.396000000000015</v>
      </c>
      <c r="K179" s="6">
        <f t="shared" si="77"/>
        <v>27215.451118781839</v>
      </c>
      <c r="L179" s="6">
        <f t="shared" si="78"/>
        <v>20.116800000000001</v>
      </c>
      <c r="M179" s="6">
        <f t="shared" si="79"/>
        <v>166.05188051327812</v>
      </c>
      <c r="N179" s="7">
        <f t="shared" si="80"/>
        <v>9999</v>
      </c>
      <c r="O179" t="str">
        <f t="shared" si="81"/>
        <v>NO</v>
      </c>
      <c r="P179" t="str">
        <f t="shared" si="82"/>
        <v>NO</v>
      </c>
      <c r="Q179" s="5" t="str">
        <f t="shared" si="83"/>
        <v>NO</v>
      </c>
      <c r="R179" s="5" t="str">
        <f t="shared" si="84"/>
        <v>NO</v>
      </c>
      <c r="S179" s="5" t="str">
        <f t="shared" si="85"/>
        <v>NO</v>
      </c>
      <c r="T179" s="4" t="str">
        <f t="shared" si="86"/>
        <v>NO</v>
      </c>
    </row>
    <row r="180" spans="3:20" x14ac:dyDescent="0.25">
      <c r="C180" s="3">
        <f t="shared" si="74"/>
        <v>0.35225120000000021</v>
      </c>
      <c r="D180" s="6">
        <v>60000</v>
      </c>
      <c r="E180" s="6">
        <v>3</v>
      </c>
      <c r="F180">
        <f>LOOKUP(E180,'Angle Percentile'!$E$3:$F$10)</f>
        <v>98</v>
      </c>
      <c r="G180">
        <f t="shared" si="75"/>
        <v>5.2335956242943828E-2</v>
      </c>
      <c r="H180" s="6">
        <f t="shared" si="76"/>
        <v>5.2359877559829883E-2</v>
      </c>
      <c r="I180" s="6">
        <v>55</v>
      </c>
      <c r="J180">
        <f>LOOKUP(I180,'Speed Percentiles'!$E$15:$F$17)</f>
        <v>35.944000000000017</v>
      </c>
      <c r="K180" s="6">
        <f t="shared" si="77"/>
        <v>27215.451118781839</v>
      </c>
      <c r="L180" s="6">
        <f t="shared" si="78"/>
        <v>24.587199999999999</v>
      </c>
      <c r="M180" s="6">
        <f t="shared" si="79"/>
        <v>22.532221769381888</v>
      </c>
      <c r="N180" s="7">
        <f t="shared" si="80"/>
        <v>10.746368658846</v>
      </c>
      <c r="O180" t="str">
        <f t="shared" si="81"/>
        <v>NO</v>
      </c>
      <c r="P180" t="str">
        <f t="shared" si="82"/>
        <v>OK</v>
      </c>
      <c r="Q180" s="5" t="str">
        <f t="shared" si="83"/>
        <v>OK</v>
      </c>
      <c r="R180" s="5" t="str">
        <f t="shared" si="84"/>
        <v>OK</v>
      </c>
      <c r="S180" s="5" t="str">
        <f t="shared" si="85"/>
        <v>OK</v>
      </c>
      <c r="T180" s="4" t="str">
        <f t="shared" si="86"/>
        <v>OK</v>
      </c>
    </row>
    <row r="181" spans="3:20" x14ac:dyDescent="0.25">
      <c r="C181" s="3">
        <f t="shared" si="74"/>
        <v>0.46256400000000014</v>
      </c>
      <c r="D181" s="6">
        <v>60000</v>
      </c>
      <c r="E181" s="6">
        <v>5</v>
      </c>
      <c r="F181">
        <f>LOOKUP(E181,'Angle Percentile'!$E$3:$F$10)</f>
        <v>90</v>
      </c>
      <c r="G181">
        <f t="shared" si="75"/>
        <v>8.7155742747658166E-2</v>
      </c>
      <c r="H181" s="6">
        <f t="shared" si="76"/>
        <v>8.7266462599716474E-2</v>
      </c>
      <c r="I181" s="6">
        <v>45</v>
      </c>
      <c r="J181">
        <f>LOOKUP(I181,'Speed Percentiles'!$E$15:$F$17)</f>
        <v>51.396000000000015</v>
      </c>
      <c r="K181" s="6">
        <f t="shared" si="77"/>
        <v>27215.451118781839</v>
      </c>
      <c r="L181" s="6">
        <f t="shared" si="78"/>
        <v>20.116800000000001</v>
      </c>
      <c r="M181" s="6">
        <f t="shared" si="79"/>
        <v>41.830721454325356</v>
      </c>
      <c r="N181" s="7">
        <f t="shared" si="80"/>
        <v>18.950006498797279</v>
      </c>
      <c r="O181" t="str">
        <f t="shared" si="81"/>
        <v>NO</v>
      </c>
      <c r="P181" t="str">
        <f t="shared" si="82"/>
        <v>NO</v>
      </c>
      <c r="Q181" s="5" t="str">
        <f t="shared" si="83"/>
        <v>NO</v>
      </c>
      <c r="R181" s="5" t="str">
        <f t="shared" si="84"/>
        <v>OK</v>
      </c>
      <c r="S181" s="5" t="str">
        <f t="shared" si="85"/>
        <v>OK</v>
      </c>
      <c r="T181" s="4" t="str">
        <f t="shared" si="86"/>
        <v>OK</v>
      </c>
    </row>
    <row r="182" spans="3:20" x14ac:dyDescent="0.25">
      <c r="C182" s="3">
        <f t="shared" si="74"/>
        <v>0.50368080000000015</v>
      </c>
      <c r="D182" s="6">
        <v>60000</v>
      </c>
      <c r="E182" s="6">
        <v>3</v>
      </c>
      <c r="F182">
        <f>LOOKUP(E182,'Angle Percentile'!$E$3:$F$10)</f>
        <v>98</v>
      </c>
      <c r="G182">
        <f t="shared" si="75"/>
        <v>5.2335956242943828E-2</v>
      </c>
      <c r="H182" s="6">
        <f t="shared" si="76"/>
        <v>5.2359877559829883E-2</v>
      </c>
      <c r="I182" s="6">
        <v>45</v>
      </c>
      <c r="J182">
        <f>LOOKUP(I182,'Speed Percentiles'!$E$15:$F$17)</f>
        <v>51.396000000000015</v>
      </c>
      <c r="K182" s="6">
        <f t="shared" si="77"/>
        <v>27215.451118781839</v>
      </c>
      <c r="L182" s="6">
        <f t="shared" si="78"/>
        <v>20.116800000000001</v>
      </c>
      <c r="M182" s="6">
        <f t="shared" si="79"/>
        <v>15.083553415867218</v>
      </c>
      <c r="N182" s="7">
        <f t="shared" si="80"/>
        <v>7.3624451352605469</v>
      </c>
      <c r="O182" t="str">
        <f t="shared" si="81"/>
        <v>NO</v>
      </c>
      <c r="P182" t="str">
        <f t="shared" si="82"/>
        <v>OK</v>
      </c>
      <c r="Q182" s="5" t="str">
        <f t="shared" si="83"/>
        <v>OK</v>
      </c>
      <c r="R182" s="5" t="str">
        <f t="shared" si="84"/>
        <v>OK</v>
      </c>
      <c r="S182" s="5" t="str">
        <f t="shared" si="85"/>
        <v>OK</v>
      </c>
      <c r="T182" s="4" t="str">
        <f t="shared" si="86"/>
        <v>OK</v>
      </c>
    </row>
    <row r="183" spans="3:20" x14ac:dyDescent="0.25">
      <c r="C183" s="3">
        <f t="shared" si="74"/>
        <v>9.0164800000000087E-2</v>
      </c>
      <c r="D183" s="6">
        <v>70000</v>
      </c>
      <c r="E183" s="6">
        <v>15</v>
      </c>
      <c r="F183">
        <f>LOOKUP(E183,'Angle Percentile'!$E$3:$F$10)</f>
        <v>44</v>
      </c>
      <c r="G183">
        <f t="shared" si="75"/>
        <v>0.25881904510252074</v>
      </c>
      <c r="H183" s="6">
        <f t="shared" si="76"/>
        <v>0.26179938779914941</v>
      </c>
      <c r="I183" s="6">
        <v>65</v>
      </c>
      <c r="J183">
        <f>LOOKUP(I183,'Speed Percentiles'!$E$15:$F$17)</f>
        <v>20.492000000000019</v>
      </c>
      <c r="K183" s="6">
        <f t="shared" si="77"/>
        <v>31751.359638578811</v>
      </c>
      <c r="L183" s="6">
        <f t="shared" si="78"/>
        <v>29.057599999999997</v>
      </c>
      <c r="M183" s="6">
        <f t="shared" si="79"/>
        <v>897.93370736491227</v>
      </c>
      <c r="N183" s="7">
        <f t="shared" si="80"/>
        <v>9999</v>
      </c>
      <c r="O183" t="str">
        <f t="shared" si="81"/>
        <v>NO</v>
      </c>
      <c r="P183" t="str">
        <f t="shared" si="82"/>
        <v>NO</v>
      </c>
      <c r="Q183" s="5" t="str">
        <f t="shared" si="83"/>
        <v>NO</v>
      </c>
      <c r="R183" s="5" t="str">
        <f t="shared" si="84"/>
        <v>NO</v>
      </c>
      <c r="S183" s="5" t="str">
        <f t="shared" si="85"/>
        <v>NO</v>
      </c>
      <c r="T183" s="4" t="str">
        <f t="shared" si="86"/>
        <v>NO</v>
      </c>
    </row>
    <row r="184" spans="3:20" x14ac:dyDescent="0.25">
      <c r="C184" s="3">
        <f t="shared" si="74"/>
        <v>0.13729640000000015</v>
      </c>
      <c r="D184" s="6">
        <v>70000</v>
      </c>
      <c r="E184" s="6">
        <v>10</v>
      </c>
      <c r="F184">
        <f>LOOKUP(E184,'Angle Percentile'!$E$3:$F$10)</f>
        <v>67</v>
      </c>
      <c r="G184">
        <f t="shared" si="75"/>
        <v>0.17364817766693033</v>
      </c>
      <c r="H184" s="6">
        <f t="shared" si="76"/>
        <v>0.17453292519943295</v>
      </c>
      <c r="I184" s="6">
        <v>65</v>
      </c>
      <c r="J184">
        <f>LOOKUP(I184,'Speed Percentiles'!$E$15:$F$17)</f>
        <v>20.492000000000019</v>
      </c>
      <c r="K184" s="6">
        <f t="shared" si="77"/>
        <v>31751.359638578811</v>
      </c>
      <c r="L184" s="6">
        <f t="shared" si="78"/>
        <v>29.057599999999997</v>
      </c>
      <c r="M184" s="6">
        <f t="shared" si="79"/>
        <v>404.19624413005749</v>
      </c>
      <c r="N184" s="7">
        <f t="shared" si="80"/>
        <v>9999</v>
      </c>
      <c r="O184" t="str">
        <f t="shared" si="81"/>
        <v>NO</v>
      </c>
      <c r="P184" t="str">
        <f t="shared" si="82"/>
        <v>NO</v>
      </c>
      <c r="Q184" s="5" t="str">
        <f t="shared" si="83"/>
        <v>NO</v>
      </c>
      <c r="R184" s="5" t="str">
        <f t="shared" si="84"/>
        <v>NO</v>
      </c>
      <c r="S184" s="5" t="str">
        <f t="shared" si="85"/>
        <v>NO</v>
      </c>
      <c r="T184" s="4" t="str">
        <f t="shared" si="86"/>
        <v>NO</v>
      </c>
    </row>
    <row r="185" spans="3:20" x14ac:dyDescent="0.25">
      <c r="C185" s="3">
        <f t="shared" si="74"/>
        <v>0.18442800000000015</v>
      </c>
      <c r="D185" s="6">
        <v>70000</v>
      </c>
      <c r="E185" s="6">
        <v>5</v>
      </c>
      <c r="F185">
        <f>LOOKUP(E185,'Angle Percentile'!$E$3:$F$10)</f>
        <v>90</v>
      </c>
      <c r="G185">
        <f t="shared" si="75"/>
        <v>8.7155742747658166E-2</v>
      </c>
      <c r="H185" s="6">
        <f t="shared" si="76"/>
        <v>8.7266462599716474E-2</v>
      </c>
      <c r="I185" s="6">
        <v>65</v>
      </c>
      <c r="J185">
        <f>LOOKUP(I185,'Speed Percentiles'!$E$15:$F$17)</f>
        <v>20.492000000000019</v>
      </c>
      <c r="K185" s="6">
        <f t="shared" si="77"/>
        <v>31751.359638578811</v>
      </c>
      <c r="L185" s="6">
        <f t="shared" si="78"/>
        <v>29.057599999999997</v>
      </c>
      <c r="M185" s="6">
        <f t="shared" si="79"/>
        <v>101.82251744952032</v>
      </c>
      <c r="N185" s="7">
        <f t="shared" si="80"/>
        <v>38.225838864356319</v>
      </c>
      <c r="O185" t="str">
        <f t="shared" si="81"/>
        <v>NO</v>
      </c>
      <c r="P185" t="str">
        <f t="shared" si="82"/>
        <v>NO</v>
      </c>
      <c r="Q185" s="5" t="str">
        <f t="shared" si="83"/>
        <v>NO</v>
      </c>
      <c r="R185" s="5" t="str">
        <f t="shared" si="84"/>
        <v>NO</v>
      </c>
      <c r="S185" s="5" t="str">
        <f t="shared" si="85"/>
        <v>NO</v>
      </c>
      <c r="T185" s="4" t="str">
        <f t="shared" si="86"/>
        <v>NO</v>
      </c>
    </row>
    <row r="186" spans="3:20" x14ac:dyDescent="0.25">
      <c r="C186" s="3">
        <f t="shared" si="74"/>
        <v>0.20082160000000018</v>
      </c>
      <c r="D186" s="6">
        <v>70000</v>
      </c>
      <c r="E186" s="6">
        <v>3</v>
      </c>
      <c r="F186">
        <f>LOOKUP(E186,'Angle Percentile'!$E$3:$F$10)</f>
        <v>98</v>
      </c>
      <c r="G186">
        <f t="shared" si="75"/>
        <v>5.2335956242943828E-2</v>
      </c>
      <c r="H186" s="6">
        <f t="shared" si="76"/>
        <v>5.2359877559829883E-2</v>
      </c>
      <c r="I186" s="6">
        <v>65</v>
      </c>
      <c r="J186">
        <f>LOOKUP(I186,'Speed Percentiles'!$E$15:$F$17)</f>
        <v>20.492000000000019</v>
      </c>
      <c r="K186" s="6">
        <f t="shared" si="77"/>
        <v>31751.359638578811</v>
      </c>
      <c r="L186" s="6">
        <f t="shared" si="78"/>
        <v>29.057599999999997</v>
      </c>
      <c r="M186" s="6">
        <f t="shared" si="79"/>
        <v>36.71572775919941</v>
      </c>
      <c r="N186" s="7">
        <f t="shared" si="80"/>
        <v>16.851589701673301</v>
      </c>
      <c r="O186" t="str">
        <f t="shared" si="81"/>
        <v>NO</v>
      </c>
      <c r="P186" t="str">
        <f t="shared" si="82"/>
        <v>NO</v>
      </c>
      <c r="Q186" s="5" t="str">
        <f t="shared" si="83"/>
        <v>OK</v>
      </c>
      <c r="R186" s="5" t="str">
        <f t="shared" si="84"/>
        <v>OK</v>
      </c>
      <c r="S186" s="5" t="str">
        <f t="shared" si="85"/>
        <v>OK</v>
      </c>
      <c r="T186" s="4" t="str">
        <f t="shared" si="86"/>
        <v>OK</v>
      </c>
    </row>
    <row r="187" spans="3:20" x14ac:dyDescent="0.25">
      <c r="C187" s="3">
        <f t="shared" si="74"/>
        <v>0.15815360000000006</v>
      </c>
      <c r="D187" s="6">
        <v>70000</v>
      </c>
      <c r="E187" s="6">
        <v>15</v>
      </c>
      <c r="F187">
        <f>LOOKUP(E187,'Angle Percentile'!$E$3:$F$10)</f>
        <v>44</v>
      </c>
      <c r="G187">
        <f t="shared" si="75"/>
        <v>0.25881904510252074</v>
      </c>
      <c r="H187" s="6">
        <f t="shared" si="76"/>
        <v>0.26179938779914941</v>
      </c>
      <c r="I187" s="6">
        <v>55</v>
      </c>
      <c r="J187">
        <f>LOOKUP(I187,'Speed Percentiles'!$E$15:$F$17)</f>
        <v>35.944000000000017</v>
      </c>
      <c r="K187" s="6">
        <f t="shared" si="77"/>
        <v>31751.359638578811</v>
      </c>
      <c r="L187" s="6">
        <f t="shared" si="78"/>
        <v>24.587199999999999</v>
      </c>
      <c r="M187" s="6">
        <f t="shared" si="79"/>
        <v>642.89928160446368</v>
      </c>
      <c r="N187" s="7">
        <f t="shared" si="80"/>
        <v>9999</v>
      </c>
      <c r="O187" t="str">
        <f t="shared" si="81"/>
        <v>NO</v>
      </c>
      <c r="P187" t="str">
        <f t="shared" si="82"/>
        <v>NO</v>
      </c>
      <c r="Q187" s="5" t="str">
        <f t="shared" si="83"/>
        <v>NO</v>
      </c>
      <c r="R187" s="5" t="str">
        <f t="shared" si="84"/>
        <v>NO</v>
      </c>
      <c r="S187" s="5" t="str">
        <f t="shared" si="85"/>
        <v>NO</v>
      </c>
      <c r="T187" s="4" t="str">
        <f t="shared" si="86"/>
        <v>NO</v>
      </c>
    </row>
    <row r="188" spans="3:20" x14ac:dyDescent="0.25">
      <c r="C188" s="3">
        <f t="shared" si="74"/>
        <v>0.22614240000000005</v>
      </c>
      <c r="D188" s="6">
        <v>70000</v>
      </c>
      <c r="E188" s="6">
        <v>15</v>
      </c>
      <c r="F188">
        <f>LOOKUP(E188,'Angle Percentile'!$E$3:$F$10)</f>
        <v>44</v>
      </c>
      <c r="G188">
        <f t="shared" si="75"/>
        <v>0.25881904510252074</v>
      </c>
      <c r="H188" s="6">
        <f t="shared" si="76"/>
        <v>0.26179938779914941</v>
      </c>
      <c r="I188" s="6">
        <v>45</v>
      </c>
      <c r="J188">
        <f>LOOKUP(I188,'Speed Percentiles'!$E$15:$F$17)</f>
        <v>51.396000000000015</v>
      </c>
      <c r="K188" s="6">
        <f t="shared" si="77"/>
        <v>31751.359638578811</v>
      </c>
      <c r="L188" s="6">
        <f t="shared" si="78"/>
        <v>20.116800000000001</v>
      </c>
      <c r="M188" s="6">
        <f t="shared" si="79"/>
        <v>430.37059347075677</v>
      </c>
      <c r="N188" s="7">
        <f t="shared" si="80"/>
        <v>9999</v>
      </c>
      <c r="O188" t="str">
        <f t="shared" si="81"/>
        <v>NO</v>
      </c>
      <c r="P188" t="str">
        <f t="shared" si="82"/>
        <v>NO</v>
      </c>
      <c r="Q188" s="5" t="str">
        <f t="shared" si="83"/>
        <v>NO</v>
      </c>
      <c r="R188" s="5" t="str">
        <f t="shared" si="84"/>
        <v>NO</v>
      </c>
      <c r="S188" s="5" t="str">
        <f t="shared" si="85"/>
        <v>NO</v>
      </c>
      <c r="T188" s="4" t="str">
        <f t="shared" si="86"/>
        <v>NO</v>
      </c>
    </row>
    <row r="189" spans="3:20" x14ac:dyDescent="0.25">
      <c r="C189" s="3">
        <f t="shared" si="74"/>
        <v>0.24082480000000012</v>
      </c>
      <c r="D189" s="6">
        <v>70000</v>
      </c>
      <c r="E189" s="6">
        <v>10</v>
      </c>
      <c r="F189">
        <f>LOOKUP(E189,'Angle Percentile'!$E$3:$F$10)</f>
        <v>67</v>
      </c>
      <c r="G189">
        <f t="shared" si="75"/>
        <v>0.17364817766693033</v>
      </c>
      <c r="H189" s="6">
        <f t="shared" si="76"/>
        <v>0.17453292519943295</v>
      </c>
      <c r="I189" s="6">
        <v>55</v>
      </c>
      <c r="J189">
        <f>LOOKUP(I189,'Speed Percentiles'!$E$15:$F$17)</f>
        <v>35.944000000000017</v>
      </c>
      <c r="K189" s="6">
        <f t="shared" si="77"/>
        <v>31751.359638578811</v>
      </c>
      <c r="L189" s="6">
        <f t="shared" si="78"/>
        <v>24.587199999999999</v>
      </c>
      <c r="M189" s="6">
        <f t="shared" si="79"/>
        <v>289.39494402211227</v>
      </c>
      <c r="N189" s="7">
        <f t="shared" si="80"/>
        <v>9999</v>
      </c>
      <c r="O189" t="str">
        <f t="shared" si="81"/>
        <v>NO</v>
      </c>
      <c r="P189" t="str">
        <f t="shared" si="82"/>
        <v>NO</v>
      </c>
      <c r="Q189" s="5" t="str">
        <f t="shared" si="83"/>
        <v>NO</v>
      </c>
      <c r="R189" s="5" t="str">
        <f t="shared" si="84"/>
        <v>NO</v>
      </c>
      <c r="S189" s="5" t="str">
        <f t="shared" si="85"/>
        <v>NO</v>
      </c>
      <c r="T189" s="4" t="str">
        <f t="shared" si="86"/>
        <v>NO</v>
      </c>
    </row>
    <row r="190" spans="3:20" x14ac:dyDescent="0.25">
      <c r="C190" s="3">
        <f t="shared" si="74"/>
        <v>0.32349600000000017</v>
      </c>
      <c r="D190" s="6">
        <v>70000</v>
      </c>
      <c r="E190" s="6">
        <v>5</v>
      </c>
      <c r="F190">
        <f>LOOKUP(E190,'Angle Percentile'!$E$3:$F$10)</f>
        <v>90</v>
      </c>
      <c r="G190">
        <f t="shared" si="75"/>
        <v>8.7155742747658166E-2</v>
      </c>
      <c r="H190" s="6">
        <f t="shared" si="76"/>
        <v>8.7266462599716474E-2</v>
      </c>
      <c r="I190" s="6">
        <v>55</v>
      </c>
      <c r="J190">
        <f>LOOKUP(I190,'Speed Percentiles'!$E$15:$F$17)</f>
        <v>35.944000000000017</v>
      </c>
      <c r="K190" s="6">
        <f t="shared" si="77"/>
        <v>31751.359638578811</v>
      </c>
      <c r="L190" s="6">
        <f t="shared" si="78"/>
        <v>24.587199999999999</v>
      </c>
      <c r="M190" s="6">
        <f t="shared" si="79"/>
        <v>72.902512493443538</v>
      </c>
      <c r="N190" s="7">
        <f t="shared" si="80"/>
        <v>30.034476346669315</v>
      </c>
      <c r="O190" t="str">
        <f t="shared" si="81"/>
        <v>NO</v>
      </c>
      <c r="P190" t="str">
        <f t="shared" si="82"/>
        <v>NO</v>
      </c>
      <c r="Q190" s="5" t="str">
        <f t="shared" si="83"/>
        <v>NO</v>
      </c>
      <c r="R190" s="5" t="str">
        <f t="shared" si="84"/>
        <v>NO</v>
      </c>
      <c r="S190" s="5" t="str">
        <f t="shared" si="85"/>
        <v>NO</v>
      </c>
      <c r="T190" s="4" t="str">
        <f t="shared" si="86"/>
        <v>OK</v>
      </c>
    </row>
    <row r="191" spans="3:20" x14ac:dyDescent="0.25">
      <c r="C191" s="3">
        <f t="shared" si="74"/>
        <v>0.34435320000000014</v>
      </c>
      <c r="D191" s="6">
        <v>70000</v>
      </c>
      <c r="E191" s="6">
        <v>10</v>
      </c>
      <c r="F191">
        <f>LOOKUP(E191,'Angle Percentile'!$E$3:$F$10)</f>
        <v>67</v>
      </c>
      <c r="G191">
        <f t="shared" si="75"/>
        <v>0.17364817766693033</v>
      </c>
      <c r="H191" s="6">
        <f t="shared" si="76"/>
        <v>0.17453292519943295</v>
      </c>
      <c r="I191" s="6">
        <v>45</v>
      </c>
      <c r="J191">
        <f>LOOKUP(I191,'Speed Percentiles'!$E$15:$F$17)</f>
        <v>51.396000000000015</v>
      </c>
      <c r="K191" s="6">
        <f t="shared" si="77"/>
        <v>31751.359638578811</v>
      </c>
      <c r="L191" s="6">
        <f t="shared" si="78"/>
        <v>20.116800000000001</v>
      </c>
      <c r="M191" s="6">
        <f t="shared" si="79"/>
        <v>193.72719393215783</v>
      </c>
      <c r="N191" s="7">
        <f t="shared" si="80"/>
        <v>9999</v>
      </c>
      <c r="O191" t="str">
        <f t="shared" si="81"/>
        <v>NO</v>
      </c>
      <c r="P191" t="str">
        <f t="shared" si="82"/>
        <v>NO</v>
      </c>
      <c r="Q191" s="5" t="str">
        <f t="shared" si="83"/>
        <v>NO</v>
      </c>
      <c r="R191" s="5" t="str">
        <f t="shared" si="84"/>
        <v>NO</v>
      </c>
      <c r="S191" s="5" t="str">
        <f t="shared" si="85"/>
        <v>NO</v>
      </c>
      <c r="T191" s="4" t="str">
        <f t="shared" si="86"/>
        <v>NO</v>
      </c>
    </row>
    <row r="192" spans="3:20" x14ac:dyDescent="0.25">
      <c r="C192" s="3">
        <f t="shared" si="74"/>
        <v>0.35225120000000021</v>
      </c>
      <c r="D192" s="6">
        <v>70000</v>
      </c>
      <c r="E192" s="6">
        <v>3</v>
      </c>
      <c r="F192">
        <f>LOOKUP(E192,'Angle Percentile'!$E$3:$F$10)</f>
        <v>98</v>
      </c>
      <c r="G192">
        <f t="shared" si="75"/>
        <v>5.2335956242943828E-2</v>
      </c>
      <c r="H192" s="6">
        <f t="shared" si="76"/>
        <v>5.2359877559829883E-2</v>
      </c>
      <c r="I192" s="6">
        <v>55</v>
      </c>
      <c r="J192">
        <f>LOOKUP(I192,'Speed Percentiles'!$E$15:$F$17)</f>
        <v>35.944000000000017</v>
      </c>
      <c r="K192" s="6">
        <f t="shared" si="77"/>
        <v>31751.359638578811</v>
      </c>
      <c r="L192" s="6">
        <f t="shared" si="78"/>
        <v>24.587199999999999</v>
      </c>
      <c r="M192" s="6">
        <f t="shared" si="79"/>
        <v>26.287592064278872</v>
      </c>
      <c r="N192" s="7">
        <f t="shared" si="80"/>
        <v>12.454096768653667</v>
      </c>
      <c r="O192" t="str">
        <f t="shared" si="81"/>
        <v>NO</v>
      </c>
      <c r="P192" t="str">
        <f t="shared" si="82"/>
        <v>NO</v>
      </c>
      <c r="Q192" s="5" t="str">
        <f t="shared" si="83"/>
        <v>OK</v>
      </c>
      <c r="R192" s="5" t="str">
        <f t="shared" si="84"/>
        <v>OK</v>
      </c>
      <c r="S192" s="5" t="str">
        <f t="shared" si="85"/>
        <v>OK</v>
      </c>
      <c r="T192" s="4" t="str">
        <f t="shared" si="86"/>
        <v>OK</v>
      </c>
    </row>
    <row r="193" spans="3:20" x14ac:dyDescent="0.25">
      <c r="C193" s="3">
        <f t="shared" si="74"/>
        <v>0.46256400000000014</v>
      </c>
      <c r="D193" s="6">
        <v>70000</v>
      </c>
      <c r="E193" s="6">
        <v>5</v>
      </c>
      <c r="F193">
        <f>LOOKUP(E193,'Angle Percentile'!$E$3:$F$10)</f>
        <v>90</v>
      </c>
      <c r="G193">
        <f t="shared" si="75"/>
        <v>8.7155742747658166E-2</v>
      </c>
      <c r="H193" s="6">
        <f t="shared" si="76"/>
        <v>8.7266462599716474E-2</v>
      </c>
      <c r="I193" s="6">
        <v>45</v>
      </c>
      <c r="J193">
        <f>LOOKUP(I193,'Speed Percentiles'!$E$15:$F$17)</f>
        <v>51.396000000000015</v>
      </c>
      <c r="K193" s="6">
        <f t="shared" si="77"/>
        <v>31751.359638578811</v>
      </c>
      <c r="L193" s="6">
        <f t="shared" si="78"/>
        <v>20.116800000000001</v>
      </c>
      <c r="M193" s="6">
        <f t="shared" si="79"/>
        <v>48.80250836337958</v>
      </c>
      <c r="N193" s="7">
        <f t="shared" si="80"/>
        <v>21.691674248596826</v>
      </c>
      <c r="O193" t="str">
        <f t="shared" si="81"/>
        <v>NO</v>
      </c>
      <c r="P193" t="str">
        <f t="shared" si="82"/>
        <v>NO</v>
      </c>
      <c r="Q193" s="5" t="str">
        <f t="shared" si="83"/>
        <v>NO</v>
      </c>
      <c r="R193" s="5" t="str">
        <f t="shared" si="84"/>
        <v>OK</v>
      </c>
      <c r="S193" s="5" t="str">
        <f t="shared" si="85"/>
        <v>OK</v>
      </c>
      <c r="T193" s="4" t="str">
        <f t="shared" si="86"/>
        <v>OK</v>
      </c>
    </row>
    <row r="194" spans="3:20" x14ac:dyDescent="0.25">
      <c r="C194" s="3">
        <f t="shared" si="74"/>
        <v>0.50368080000000015</v>
      </c>
      <c r="D194" s="6">
        <v>70000</v>
      </c>
      <c r="E194" s="6">
        <v>3</v>
      </c>
      <c r="F194">
        <f>LOOKUP(E194,'Angle Percentile'!$E$3:$F$10)</f>
        <v>98</v>
      </c>
      <c r="G194">
        <f t="shared" si="75"/>
        <v>5.2335956242943828E-2</v>
      </c>
      <c r="H194" s="6">
        <f t="shared" si="76"/>
        <v>5.2359877559829883E-2</v>
      </c>
      <c r="I194" s="6">
        <v>45</v>
      </c>
      <c r="J194">
        <f>LOOKUP(I194,'Speed Percentiles'!$E$15:$F$17)</f>
        <v>51.396000000000015</v>
      </c>
      <c r="K194" s="6">
        <f t="shared" si="77"/>
        <v>31751.359638578811</v>
      </c>
      <c r="L194" s="6">
        <f t="shared" si="78"/>
        <v>20.116800000000001</v>
      </c>
      <c r="M194" s="6">
        <f t="shared" si="79"/>
        <v>17.597478985178423</v>
      </c>
      <c r="N194" s="7">
        <f t="shared" si="80"/>
        <v>8.4395193244706395</v>
      </c>
      <c r="O194" t="str">
        <f t="shared" si="81"/>
        <v>NO</v>
      </c>
      <c r="P194" t="str">
        <f t="shared" si="82"/>
        <v>OK</v>
      </c>
      <c r="Q194" s="5" t="str">
        <f t="shared" si="83"/>
        <v>OK</v>
      </c>
      <c r="R194" s="5" t="str">
        <f t="shared" si="84"/>
        <v>OK</v>
      </c>
      <c r="S194" s="5" t="str">
        <f t="shared" si="85"/>
        <v>OK</v>
      </c>
      <c r="T194" s="4" t="str">
        <f t="shared" si="86"/>
        <v>OK</v>
      </c>
    </row>
    <row r="195" spans="3:20" x14ac:dyDescent="0.25">
      <c r="C195" s="3">
        <f t="shared" si="74"/>
        <v>9.0164800000000087E-2</v>
      </c>
      <c r="D195" s="6">
        <v>80000</v>
      </c>
      <c r="E195" s="6">
        <v>15</v>
      </c>
      <c r="F195">
        <f>LOOKUP(E195,'Angle Percentile'!$E$3:$F$10)</f>
        <v>44</v>
      </c>
      <c r="G195">
        <f t="shared" si="75"/>
        <v>0.25881904510252074</v>
      </c>
      <c r="H195" s="6">
        <f t="shared" si="76"/>
        <v>0.26179938779914941</v>
      </c>
      <c r="I195" s="6">
        <v>65</v>
      </c>
      <c r="J195">
        <f>LOOKUP(I195,'Speed Percentiles'!$E$15:$F$17)</f>
        <v>20.492000000000019</v>
      </c>
      <c r="K195" s="6">
        <f t="shared" si="77"/>
        <v>36287.268158375788</v>
      </c>
      <c r="L195" s="6">
        <f t="shared" si="78"/>
        <v>29.057599999999997</v>
      </c>
      <c r="M195" s="6">
        <f t="shared" si="79"/>
        <v>1026.2099512741854</v>
      </c>
      <c r="N195" s="7">
        <f t="shared" si="80"/>
        <v>9999</v>
      </c>
      <c r="O195" t="str">
        <f t="shared" si="81"/>
        <v>NO</v>
      </c>
      <c r="P195" t="str">
        <f t="shared" si="82"/>
        <v>NO</v>
      </c>
      <c r="Q195" s="5" t="str">
        <f t="shared" si="83"/>
        <v>NO</v>
      </c>
      <c r="R195" s="5" t="str">
        <f t="shared" si="84"/>
        <v>NO</v>
      </c>
      <c r="S195" s="5" t="str">
        <f t="shared" si="85"/>
        <v>NO</v>
      </c>
      <c r="T195" s="4" t="str">
        <f t="shared" si="86"/>
        <v>NO</v>
      </c>
    </row>
    <row r="196" spans="3:20" x14ac:dyDescent="0.25">
      <c r="C196" s="3">
        <f t="shared" si="74"/>
        <v>0.13729640000000015</v>
      </c>
      <c r="D196" s="6">
        <v>80000</v>
      </c>
      <c r="E196" s="6">
        <v>10</v>
      </c>
      <c r="F196">
        <f>LOOKUP(E196,'Angle Percentile'!$E$3:$F$10)</f>
        <v>67</v>
      </c>
      <c r="G196">
        <f t="shared" si="75"/>
        <v>0.17364817766693033</v>
      </c>
      <c r="H196" s="6">
        <f t="shared" si="76"/>
        <v>0.17453292519943295</v>
      </c>
      <c r="I196" s="6">
        <v>65</v>
      </c>
      <c r="J196">
        <f>LOOKUP(I196,'Speed Percentiles'!$E$15:$F$17)</f>
        <v>20.492000000000019</v>
      </c>
      <c r="K196" s="6">
        <f t="shared" si="77"/>
        <v>36287.268158375788</v>
      </c>
      <c r="L196" s="6">
        <f t="shared" si="78"/>
        <v>29.057599999999997</v>
      </c>
      <c r="M196" s="6">
        <f t="shared" si="79"/>
        <v>461.93856472006581</v>
      </c>
      <c r="N196" s="7">
        <f t="shared" si="80"/>
        <v>9999</v>
      </c>
      <c r="O196" t="str">
        <f t="shared" si="81"/>
        <v>NO</v>
      </c>
      <c r="P196" t="str">
        <f t="shared" si="82"/>
        <v>NO</v>
      </c>
      <c r="Q196" s="5" t="str">
        <f t="shared" si="83"/>
        <v>NO</v>
      </c>
      <c r="R196" s="5" t="str">
        <f t="shared" si="84"/>
        <v>NO</v>
      </c>
      <c r="S196" s="5" t="str">
        <f t="shared" si="85"/>
        <v>NO</v>
      </c>
      <c r="T196" s="4" t="str">
        <f t="shared" si="86"/>
        <v>NO</v>
      </c>
    </row>
    <row r="197" spans="3:20" x14ac:dyDescent="0.25">
      <c r="C197" s="3">
        <f t="shared" si="74"/>
        <v>0.18442800000000015</v>
      </c>
      <c r="D197" s="6">
        <v>80000</v>
      </c>
      <c r="E197" s="6">
        <v>5</v>
      </c>
      <c r="F197">
        <f>LOOKUP(E197,'Angle Percentile'!$E$3:$F$10)</f>
        <v>90</v>
      </c>
      <c r="G197">
        <f t="shared" si="75"/>
        <v>8.7155742747658166E-2</v>
      </c>
      <c r="H197" s="6">
        <f t="shared" si="76"/>
        <v>8.7266462599716474E-2</v>
      </c>
      <c r="I197" s="6">
        <v>65</v>
      </c>
      <c r="J197">
        <f>LOOKUP(I197,'Speed Percentiles'!$E$15:$F$17)</f>
        <v>20.492000000000019</v>
      </c>
      <c r="K197" s="6">
        <f t="shared" si="77"/>
        <v>36287.268158375788</v>
      </c>
      <c r="L197" s="6">
        <f t="shared" si="78"/>
        <v>29.057599999999997</v>
      </c>
      <c r="M197" s="6">
        <f t="shared" si="79"/>
        <v>116.36859137088038</v>
      </c>
      <c r="N197" s="7">
        <f t="shared" si="80"/>
        <v>41.415244416407234</v>
      </c>
      <c r="O197" t="str">
        <f t="shared" si="81"/>
        <v>NO</v>
      </c>
      <c r="P197" t="str">
        <f t="shared" si="82"/>
        <v>NO</v>
      </c>
      <c r="Q197" s="5" t="str">
        <f t="shared" si="83"/>
        <v>NO</v>
      </c>
      <c r="R197" s="5" t="str">
        <f t="shared" si="84"/>
        <v>NO</v>
      </c>
      <c r="S197" s="5" t="str">
        <f t="shared" si="85"/>
        <v>NO</v>
      </c>
      <c r="T197" s="4" t="str">
        <f t="shared" si="86"/>
        <v>NO</v>
      </c>
    </row>
    <row r="198" spans="3:20" x14ac:dyDescent="0.25">
      <c r="C198" s="3">
        <f t="shared" si="74"/>
        <v>0.20082160000000018</v>
      </c>
      <c r="D198" s="6">
        <v>80000</v>
      </c>
      <c r="E198" s="6">
        <v>3</v>
      </c>
      <c r="F198">
        <f>LOOKUP(E198,'Angle Percentile'!$E$3:$F$10)</f>
        <v>98</v>
      </c>
      <c r="G198">
        <f t="shared" si="75"/>
        <v>5.2335956242943828E-2</v>
      </c>
      <c r="H198" s="6">
        <f t="shared" si="76"/>
        <v>5.2359877559829883E-2</v>
      </c>
      <c r="I198" s="6">
        <v>65</v>
      </c>
      <c r="J198">
        <f>LOOKUP(I198,'Speed Percentiles'!$E$15:$F$17)</f>
        <v>20.492000000000019</v>
      </c>
      <c r="K198" s="6">
        <f t="shared" si="77"/>
        <v>36287.268158375788</v>
      </c>
      <c r="L198" s="6">
        <f t="shared" si="78"/>
        <v>29.057599999999997</v>
      </c>
      <c r="M198" s="6">
        <f t="shared" si="79"/>
        <v>41.960831724799334</v>
      </c>
      <c r="N198" s="7">
        <f t="shared" si="80"/>
        <v>19.01610251619806</v>
      </c>
      <c r="O198" t="str">
        <f t="shared" si="81"/>
        <v>NO</v>
      </c>
      <c r="P198" t="str">
        <f t="shared" si="82"/>
        <v>NO</v>
      </c>
      <c r="Q198" s="5" t="str">
        <f t="shared" si="83"/>
        <v>NO</v>
      </c>
      <c r="R198" s="5" t="str">
        <f t="shared" si="84"/>
        <v>OK</v>
      </c>
      <c r="S198" s="5" t="str">
        <f t="shared" si="85"/>
        <v>OK</v>
      </c>
      <c r="T198" s="4" t="str">
        <f t="shared" si="86"/>
        <v>OK</v>
      </c>
    </row>
    <row r="199" spans="3:20" x14ac:dyDescent="0.25">
      <c r="C199" s="3">
        <f t="shared" si="74"/>
        <v>0.15815360000000006</v>
      </c>
      <c r="D199" s="6">
        <v>80000</v>
      </c>
      <c r="E199" s="6">
        <v>15</v>
      </c>
      <c r="F199">
        <f>LOOKUP(E199,'Angle Percentile'!$E$3:$F$10)</f>
        <v>44</v>
      </c>
      <c r="G199">
        <f t="shared" si="75"/>
        <v>0.25881904510252074</v>
      </c>
      <c r="H199" s="6">
        <f t="shared" si="76"/>
        <v>0.26179938779914941</v>
      </c>
      <c r="I199" s="6">
        <v>55</v>
      </c>
      <c r="J199">
        <f>LOOKUP(I199,'Speed Percentiles'!$E$15:$F$17)</f>
        <v>35.944000000000017</v>
      </c>
      <c r="K199" s="6">
        <f t="shared" si="77"/>
        <v>36287.268158375788</v>
      </c>
      <c r="L199" s="6">
        <f t="shared" si="78"/>
        <v>24.587199999999999</v>
      </c>
      <c r="M199" s="6">
        <f t="shared" si="79"/>
        <v>734.74203611938708</v>
      </c>
      <c r="N199" s="7">
        <f t="shared" si="80"/>
        <v>9999</v>
      </c>
      <c r="O199" t="str">
        <f t="shared" si="81"/>
        <v>NO</v>
      </c>
      <c r="P199" t="str">
        <f t="shared" si="82"/>
        <v>NO</v>
      </c>
      <c r="Q199" s="5" t="str">
        <f t="shared" si="83"/>
        <v>NO</v>
      </c>
      <c r="R199" s="5" t="str">
        <f t="shared" si="84"/>
        <v>NO</v>
      </c>
      <c r="S199" s="5" t="str">
        <f t="shared" si="85"/>
        <v>NO</v>
      </c>
      <c r="T199" s="4" t="str">
        <f t="shared" si="86"/>
        <v>NO</v>
      </c>
    </row>
    <row r="200" spans="3:20" x14ac:dyDescent="0.25">
      <c r="C200" s="3">
        <f t="shared" si="74"/>
        <v>0.22614240000000005</v>
      </c>
      <c r="D200" s="6">
        <v>80000</v>
      </c>
      <c r="E200" s="6">
        <v>15</v>
      </c>
      <c r="F200">
        <f>LOOKUP(E200,'Angle Percentile'!$E$3:$F$10)</f>
        <v>44</v>
      </c>
      <c r="G200">
        <f t="shared" si="75"/>
        <v>0.25881904510252074</v>
      </c>
      <c r="H200" s="6">
        <f t="shared" si="76"/>
        <v>0.26179938779914941</v>
      </c>
      <c r="I200" s="6">
        <v>45</v>
      </c>
      <c r="J200">
        <f>LOOKUP(I200,'Speed Percentiles'!$E$15:$F$17)</f>
        <v>51.396000000000015</v>
      </c>
      <c r="K200" s="6">
        <f t="shared" si="77"/>
        <v>36287.268158375788</v>
      </c>
      <c r="L200" s="6">
        <f t="shared" si="78"/>
        <v>20.116800000000001</v>
      </c>
      <c r="M200" s="6">
        <f t="shared" si="79"/>
        <v>491.85210682372207</v>
      </c>
      <c r="N200" s="7">
        <f t="shared" si="80"/>
        <v>9999</v>
      </c>
      <c r="O200" t="str">
        <f t="shared" si="81"/>
        <v>NO</v>
      </c>
      <c r="P200" t="str">
        <f t="shared" si="82"/>
        <v>NO</v>
      </c>
      <c r="Q200" s="5" t="str">
        <f t="shared" si="83"/>
        <v>NO</v>
      </c>
      <c r="R200" s="5" t="str">
        <f t="shared" si="84"/>
        <v>NO</v>
      </c>
      <c r="S200" s="5" t="str">
        <f t="shared" si="85"/>
        <v>NO</v>
      </c>
      <c r="T200" s="4" t="str">
        <f t="shared" si="86"/>
        <v>NO</v>
      </c>
    </row>
    <row r="201" spans="3:20" x14ac:dyDescent="0.25">
      <c r="C201" s="3">
        <f t="shared" si="74"/>
        <v>0.24082480000000012</v>
      </c>
      <c r="D201" s="6">
        <v>80000</v>
      </c>
      <c r="E201" s="6">
        <v>10</v>
      </c>
      <c r="F201">
        <f>LOOKUP(E201,'Angle Percentile'!$E$3:$F$10)</f>
        <v>67</v>
      </c>
      <c r="G201">
        <f t="shared" si="75"/>
        <v>0.17364817766693033</v>
      </c>
      <c r="H201" s="6">
        <f t="shared" si="76"/>
        <v>0.17453292519943295</v>
      </c>
      <c r="I201" s="6">
        <v>55</v>
      </c>
      <c r="J201">
        <f>LOOKUP(I201,'Speed Percentiles'!$E$15:$F$17)</f>
        <v>35.944000000000017</v>
      </c>
      <c r="K201" s="6">
        <f t="shared" si="77"/>
        <v>36287.268158375788</v>
      </c>
      <c r="L201" s="6">
        <f t="shared" si="78"/>
        <v>24.587199999999999</v>
      </c>
      <c r="M201" s="6">
        <f t="shared" si="79"/>
        <v>330.7370788824141</v>
      </c>
      <c r="N201" s="7">
        <f t="shared" si="80"/>
        <v>9999</v>
      </c>
      <c r="O201" t="str">
        <f t="shared" si="81"/>
        <v>NO</v>
      </c>
      <c r="P201" t="str">
        <f t="shared" si="82"/>
        <v>NO</v>
      </c>
      <c r="Q201" s="5" t="str">
        <f t="shared" si="83"/>
        <v>NO</v>
      </c>
      <c r="R201" s="5" t="str">
        <f t="shared" si="84"/>
        <v>NO</v>
      </c>
      <c r="S201" s="5" t="str">
        <f t="shared" si="85"/>
        <v>NO</v>
      </c>
      <c r="T201" s="4" t="str">
        <f t="shared" si="86"/>
        <v>NO</v>
      </c>
    </row>
    <row r="202" spans="3:20" x14ac:dyDescent="0.25">
      <c r="C202" s="3">
        <f t="shared" si="74"/>
        <v>0.32349600000000017</v>
      </c>
      <c r="D202" s="6">
        <v>80000</v>
      </c>
      <c r="E202" s="6">
        <v>5</v>
      </c>
      <c r="F202">
        <f>LOOKUP(E202,'Angle Percentile'!$E$3:$F$10)</f>
        <v>90</v>
      </c>
      <c r="G202">
        <f t="shared" si="75"/>
        <v>8.7155742747658166E-2</v>
      </c>
      <c r="H202" s="6">
        <f t="shared" si="76"/>
        <v>8.7266462599716474E-2</v>
      </c>
      <c r="I202" s="6">
        <v>55</v>
      </c>
      <c r="J202">
        <f>LOOKUP(I202,'Speed Percentiles'!$E$15:$F$17)</f>
        <v>35.944000000000017</v>
      </c>
      <c r="K202" s="6">
        <f t="shared" si="77"/>
        <v>36287.268158375788</v>
      </c>
      <c r="L202" s="6">
        <f t="shared" si="78"/>
        <v>24.587199999999999</v>
      </c>
      <c r="M202" s="6">
        <f t="shared" si="79"/>
        <v>83.317157135364056</v>
      </c>
      <c r="N202" s="7">
        <f t="shared" si="80"/>
        <v>33.225115824764941</v>
      </c>
      <c r="O202" t="str">
        <f t="shared" si="81"/>
        <v>NO</v>
      </c>
      <c r="P202" t="str">
        <f t="shared" si="82"/>
        <v>NO</v>
      </c>
      <c r="Q202" s="5" t="str">
        <f t="shared" si="83"/>
        <v>NO</v>
      </c>
      <c r="R202" s="5" t="str">
        <f t="shared" si="84"/>
        <v>NO</v>
      </c>
      <c r="S202" s="5" t="str">
        <f t="shared" si="85"/>
        <v>NO</v>
      </c>
      <c r="T202" s="4" t="str">
        <f t="shared" si="86"/>
        <v>OK</v>
      </c>
    </row>
    <row r="203" spans="3:20" x14ac:dyDescent="0.25">
      <c r="C203" s="3">
        <f t="shared" si="74"/>
        <v>0.34435320000000014</v>
      </c>
      <c r="D203" s="6">
        <v>80000</v>
      </c>
      <c r="E203" s="6">
        <v>10</v>
      </c>
      <c r="F203">
        <f>LOOKUP(E203,'Angle Percentile'!$E$3:$F$10)</f>
        <v>67</v>
      </c>
      <c r="G203">
        <f t="shared" si="75"/>
        <v>0.17364817766693033</v>
      </c>
      <c r="H203" s="6">
        <f t="shared" si="76"/>
        <v>0.17453292519943295</v>
      </c>
      <c r="I203" s="6">
        <v>45</v>
      </c>
      <c r="J203">
        <f>LOOKUP(I203,'Speed Percentiles'!$E$15:$F$17)</f>
        <v>51.396000000000015</v>
      </c>
      <c r="K203" s="6">
        <f t="shared" si="77"/>
        <v>36287.268158375788</v>
      </c>
      <c r="L203" s="6">
        <f t="shared" si="78"/>
        <v>20.116800000000001</v>
      </c>
      <c r="M203" s="6">
        <f t="shared" si="79"/>
        <v>221.40250735103751</v>
      </c>
      <c r="N203" s="7">
        <f t="shared" si="80"/>
        <v>9999</v>
      </c>
      <c r="O203" t="str">
        <f t="shared" si="81"/>
        <v>NO</v>
      </c>
      <c r="P203" t="str">
        <f t="shared" si="82"/>
        <v>NO</v>
      </c>
      <c r="Q203" s="5" t="str">
        <f t="shared" si="83"/>
        <v>NO</v>
      </c>
      <c r="R203" s="5" t="str">
        <f t="shared" si="84"/>
        <v>NO</v>
      </c>
      <c r="S203" s="5" t="str">
        <f t="shared" si="85"/>
        <v>NO</v>
      </c>
      <c r="T203" s="4" t="str">
        <f t="shared" si="86"/>
        <v>NO</v>
      </c>
    </row>
    <row r="204" spans="3:20" x14ac:dyDescent="0.25">
      <c r="C204" s="3">
        <f t="shared" si="74"/>
        <v>0.35225120000000021</v>
      </c>
      <c r="D204" s="6">
        <v>80000</v>
      </c>
      <c r="E204" s="6">
        <v>3</v>
      </c>
      <c r="F204">
        <f>LOOKUP(E204,'Angle Percentile'!$E$3:$F$10)</f>
        <v>98</v>
      </c>
      <c r="G204">
        <f t="shared" si="75"/>
        <v>5.2335956242943828E-2</v>
      </c>
      <c r="H204" s="6">
        <f t="shared" si="76"/>
        <v>5.2359877559829883E-2</v>
      </c>
      <c r="I204" s="6">
        <v>55</v>
      </c>
      <c r="J204">
        <f>LOOKUP(I204,'Speed Percentiles'!$E$15:$F$17)</f>
        <v>35.944000000000017</v>
      </c>
      <c r="K204" s="6">
        <f t="shared" si="77"/>
        <v>36287.268158375788</v>
      </c>
      <c r="L204" s="6">
        <f t="shared" si="78"/>
        <v>24.587199999999999</v>
      </c>
      <c r="M204" s="6">
        <f t="shared" si="79"/>
        <v>30.042962359175856</v>
      </c>
      <c r="N204" s="7">
        <f t="shared" si="80"/>
        <v>14.061824878461334</v>
      </c>
      <c r="O204" t="str">
        <f t="shared" si="81"/>
        <v>NO</v>
      </c>
      <c r="P204" t="str">
        <f t="shared" si="82"/>
        <v>NO</v>
      </c>
      <c r="Q204" s="5" t="str">
        <f t="shared" si="83"/>
        <v>OK</v>
      </c>
      <c r="R204" s="5" t="str">
        <f t="shared" si="84"/>
        <v>OK</v>
      </c>
      <c r="S204" s="5" t="str">
        <f t="shared" si="85"/>
        <v>OK</v>
      </c>
      <c r="T204" s="4" t="str">
        <f t="shared" si="86"/>
        <v>OK</v>
      </c>
    </row>
    <row r="205" spans="3:20" x14ac:dyDescent="0.25">
      <c r="C205" s="3">
        <f t="shared" si="74"/>
        <v>0.46256400000000014</v>
      </c>
      <c r="D205" s="6">
        <v>80000</v>
      </c>
      <c r="E205" s="6">
        <v>5</v>
      </c>
      <c r="F205">
        <f>LOOKUP(E205,'Angle Percentile'!$E$3:$F$10)</f>
        <v>90</v>
      </c>
      <c r="G205">
        <f t="shared" si="75"/>
        <v>8.7155742747658166E-2</v>
      </c>
      <c r="H205" s="6">
        <f t="shared" si="76"/>
        <v>8.7266462599716474E-2</v>
      </c>
      <c r="I205" s="6">
        <v>45</v>
      </c>
      <c r="J205">
        <f>LOOKUP(I205,'Speed Percentiles'!$E$15:$F$17)</f>
        <v>51.396000000000015</v>
      </c>
      <c r="K205" s="6">
        <f t="shared" si="77"/>
        <v>36287.268158375788</v>
      </c>
      <c r="L205" s="6">
        <f t="shared" si="78"/>
        <v>20.116800000000001</v>
      </c>
      <c r="M205" s="6">
        <f t="shared" si="79"/>
        <v>55.774295272433811</v>
      </c>
      <c r="N205" s="7">
        <f t="shared" si="80"/>
        <v>24.233341998396376</v>
      </c>
      <c r="O205" t="str">
        <f t="shared" si="81"/>
        <v>NO</v>
      </c>
      <c r="P205" t="str">
        <f t="shared" si="82"/>
        <v>NO</v>
      </c>
      <c r="Q205" s="5" t="str">
        <f t="shared" si="83"/>
        <v>NO</v>
      </c>
      <c r="R205" s="5" t="str">
        <f t="shared" si="84"/>
        <v>NO</v>
      </c>
      <c r="S205" s="5" t="str">
        <f t="shared" si="85"/>
        <v>OK</v>
      </c>
      <c r="T205" s="4" t="str">
        <f t="shared" si="86"/>
        <v>OK</v>
      </c>
    </row>
    <row r="206" spans="3:20" x14ac:dyDescent="0.25">
      <c r="C206" s="3">
        <f t="shared" si="74"/>
        <v>0.50368080000000015</v>
      </c>
      <c r="D206" s="6">
        <v>80000</v>
      </c>
      <c r="E206" s="6">
        <v>3</v>
      </c>
      <c r="F206">
        <f>LOOKUP(E206,'Angle Percentile'!$E$3:$F$10)</f>
        <v>98</v>
      </c>
      <c r="G206">
        <f t="shared" si="75"/>
        <v>5.2335956242943828E-2</v>
      </c>
      <c r="H206" s="6">
        <f t="shared" si="76"/>
        <v>5.2359877559829883E-2</v>
      </c>
      <c r="I206" s="6">
        <v>45</v>
      </c>
      <c r="J206">
        <f>LOOKUP(I206,'Speed Percentiles'!$E$15:$F$17)</f>
        <v>51.396000000000015</v>
      </c>
      <c r="K206" s="6">
        <f t="shared" si="77"/>
        <v>36287.268158375788</v>
      </c>
      <c r="L206" s="6">
        <f t="shared" si="78"/>
        <v>20.116800000000001</v>
      </c>
      <c r="M206" s="6">
        <f t="shared" si="79"/>
        <v>20.111404554489624</v>
      </c>
      <c r="N206" s="7">
        <f t="shared" si="80"/>
        <v>9.6165935136807299</v>
      </c>
      <c r="O206" t="str">
        <f t="shared" si="81"/>
        <v>NO</v>
      </c>
      <c r="P206" t="str">
        <f t="shared" si="82"/>
        <v>OK</v>
      </c>
      <c r="Q206" s="5" t="str">
        <f t="shared" si="83"/>
        <v>OK</v>
      </c>
      <c r="R206" s="5" t="str">
        <f t="shared" si="84"/>
        <v>OK</v>
      </c>
      <c r="S206" s="5" t="str">
        <f t="shared" si="85"/>
        <v>OK</v>
      </c>
      <c r="T206" s="4" t="str">
        <f t="shared" si="86"/>
        <v>OK</v>
      </c>
    </row>
  </sheetData>
  <sheetProtection password="CDFC" sheet="1" objects="1" scenarios="1"/>
  <sortState ref="C69:T86">
    <sortCondition descending="1" ref="M69:M86"/>
  </sortState>
  <mergeCells count="10">
    <mergeCell ref="N13:N14"/>
    <mergeCell ref="O13:T13"/>
    <mergeCell ref="C13:C14"/>
    <mergeCell ref="D13:D14"/>
    <mergeCell ref="E13:E14"/>
    <mergeCell ref="H13:H14"/>
    <mergeCell ref="I13:I14"/>
    <mergeCell ref="K13:K14"/>
    <mergeCell ref="L13:L14"/>
    <mergeCell ref="M13:M14"/>
  </mergeCells>
  <pageMargins left="0.7" right="0.7" top="0.75" bottom="0.75" header="0.3" footer="0.3"/>
  <pageSetup orientation="portrait" horizontalDpi="4294967295" verticalDpi="4294967295" r:id="rId1"/>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C187961E-6840-4BF9-9236-C0EE175964E7}">
            <xm:f>NOT(ISERROR(SEARCH($A$16,O15)))</xm:f>
            <xm:f>$A$16</xm:f>
            <x14:dxf>
              <font>
                <color rgb="FF006100"/>
              </font>
              <fill>
                <patternFill>
                  <bgColor rgb="FFC6EFCE"/>
                </patternFill>
              </fill>
            </x14:dxf>
          </x14:cfRule>
          <x14:cfRule type="containsText" priority="8" operator="containsText" id="{66A3F004-86B2-4647-B50A-77606E0A6330}">
            <xm:f>NOT(ISERROR(SEARCH($A$15,O15)))</xm:f>
            <xm:f>$A$15</xm:f>
            <x14:dxf>
              <font>
                <color rgb="FF9C0006"/>
              </font>
              <fill>
                <patternFill>
                  <bgColor rgb="FFFFC7CE"/>
                </patternFill>
              </fill>
            </x14:dxf>
          </x14:cfRule>
          <xm:sqref>O15:T26</xm:sqref>
        </x14:conditionalFormatting>
        <x14:conditionalFormatting xmlns:xm="http://schemas.microsoft.com/office/excel/2006/main">
          <x14:cfRule type="containsText" priority="1" operator="containsText" id="{B5A26737-9AEF-4ABE-86BD-11580BDDAA76}">
            <xm:f>NOT(ISERROR(SEARCH($A$16,O27)))</xm:f>
            <xm:f>$A$16</xm:f>
            <x14:dxf>
              <font>
                <color rgb="FF006100"/>
              </font>
              <fill>
                <patternFill>
                  <bgColor rgb="FFC6EFCE"/>
                </patternFill>
              </fill>
            </x14:dxf>
          </x14:cfRule>
          <x14:cfRule type="containsText" priority="2" operator="containsText" id="{E1B196FF-243B-4BF9-8AEE-735D19A0E7B3}">
            <xm:f>NOT(ISERROR(SEARCH($A$15,O27)))</xm:f>
            <xm:f>$A$15</xm:f>
            <x14:dxf>
              <font>
                <color rgb="FF9C0006"/>
              </font>
              <fill>
                <patternFill>
                  <bgColor rgb="FFFFC7CE"/>
                </patternFill>
              </fill>
            </x14:dxf>
          </x14:cfRule>
          <xm:sqref>O27:T206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4:P16"/>
  <sheetViews>
    <sheetView workbookViewId="0">
      <selection activeCell="G23" sqref="G23"/>
    </sheetView>
  </sheetViews>
  <sheetFormatPr defaultRowHeight="15" x14ac:dyDescent="0.25"/>
  <cols>
    <col min="10" max="10" width="9.140625" style="4"/>
  </cols>
  <sheetData>
    <row r="4" spans="6:16" x14ac:dyDescent="0.25">
      <c r="F4" s="30" t="s">
        <v>200</v>
      </c>
      <c r="H4" s="48" t="s">
        <v>200</v>
      </c>
      <c r="J4" s="48" t="s">
        <v>200</v>
      </c>
      <c r="L4" s="48" t="s">
        <v>200</v>
      </c>
    </row>
    <row r="5" spans="6:16" x14ac:dyDescent="0.25">
      <c r="H5" s="4"/>
      <c r="L5" s="4"/>
    </row>
    <row r="6" spans="6:16" x14ac:dyDescent="0.25">
      <c r="H6" s="4"/>
      <c r="L6" s="4"/>
    </row>
    <row r="7" spans="6:16" x14ac:dyDescent="0.25">
      <c r="F7" s="31" t="s">
        <v>200</v>
      </c>
      <c r="H7" s="49" t="s">
        <v>200</v>
      </c>
      <c r="J7" s="49" t="s">
        <v>200</v>
      </c>
      <c r="L7" s="56" t="s">
        <v>200</v>
      </c>
      <c r="M7" s="42"/>
      <c r="N7" s="56"/>
    </row>
    <row r="8" spans="6:16" x14ac:dyDescent="0.25">
      <c r="H8" s="4"/>
      <c r="L8" s="4"/>
    </row>
    <row r="9" spans="6:16" x14ac:dyDescent="0.25">
      <c r="H9" s="4"/>
      <c r="L9" s="4"/>
    </row>
    <row r="10" spans="6:16" x14ac:dyDescent="0.25">
      <c r="F10" s="32" t="s">
        <v>200</v>
      </c>
      <c r="H10" s="50" t="s">
        <v>200</v>
      </c>
      <c r="J10" s="53" t="s">
        <v>200</v>
      </c>
      <c r="L10" s="53" t="s">
        <v>200</v>
      </c>
    </row>
    <row r="11" spans="6:16" x14ac:dyDescent="0.25">
      <c r="H11" s="4"/>
      <c r="L11" s="4"/>
    </row>
    <row r="12" spans="6:16" x14ac:dyDescent="0.25">
      <c r="H12" s="4"/>
      <c r="L12" s="4"/>
    </row>
    <row r="13" spans="6:16" x14ac:dyDescent="0.25">
      <c r="F13" s="33" t="s">
        <v>200</v>
      </c>
      <c r="H13" s="51" t="s">
        <v>200</v>
      </c>
      <c r="J13" s="54" t="s">
        <v>200</v>
      </c>
      <c r="L13" s="54" t="s">
        <v>200</v>
      </c>
    </row>
    <row r="14" spans="6:16" x14ac:dyDescent="0.25">
      <c r="H14" s="4"/>
      <c r="L14" s="4"/>
    </row>
    <row r="15" spans="6:16" x14ac:dyDescent="0.25">
      <c r="H15" s="4"/>
      <c r="L15" s="4"/>
      <c r="P15" s="4"/>
    </row>
    <row r="16" spans="6:16" x14ac:dyDescent="0.25">
      <c r="F16" s="34" t="s">
        <v>200</v>
      </c>
      <c r="H16" s="52" t="s">
        <v>200</v>
      </c>
      <c r="J16" s="55" t="s">
        <v>200</v>
      </c>
      <c r="L16" s="55" t="s">
        <v>200</v>
      </c>
    </row>
  </sheetData>
  <sheetProtection password="CDFC" sheet="1" objects="1" scenario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F17"/>
  <sheetViews>
    <sheetView workbookViewId="0">
      <selection activeCell="E30" sqref="E30"/>
    </sheetView>
  </sheetViews>
  <sheetFormatPr defaultRowHeight="15" x14ac:dyDescent="0.25"/>
  <cols>
    <col min="5" max="5" width="11.5703125" bestFit="1" customWidth="1"/>
  </cols>
  <sheetData>
    <row r="1" spans="5:6" x14ac:dyDescent="0.25">
      <c r="E1" t="s">
        <v>123</v>
      </c>
    </row>
    <row r="3" spans="5:6" x14ac:dyDescent="0.25">
      <c r="E3" t="s">
        <v>120</v>
      </c>
      <c r="F3" t="s">
        <v>119</v>
      </c>
    </row>
    <row r="4" spans="5:6" x14ac:dyDescent="0.25">
      <c r="E4">
        <v>12</v>
      </c>
      <c r="F4">
        <v>99</v>
      </c>
    </row>
    <row r="5" spans="5:6" x14ac:dyDescent="0.25">
      <c r="E5">
        <v>25</v>
      </c>
      <c r="F5">
        <v>88</v>
      </c>
    </row>
    <row r="6" spans="5:6" x14ac:dyDescent="0.25">
      <c r="E6">
        <v>37</v>
      </c>
      <c r="F6">
        <v>63</v>
      </c>
    </row>
    <row r="7" spans="5:6" x14ac:dyDescent="0.25">
      <c r="E7">
        <v>56</v>
      </c>
      <c r="F7">
        <v>37</v>
      </c>
    </row>
    <row r="8" spans="5:6" x14ac:dyDescent="0.25">
      <c r="E8">
        <v>62</v>
      </c>
      <c r="F8">
        <v>18</v>
      </c>
    </row>
    <row r="9" spans="5:6" x14ac:dyDescent="0.25">
      <c r="E9">
        <v>75</v>
      </c>
      <c r="F9">
        <v>8</v>
      </c>
    </row>
    <row r="14" spans="5:6" x14ac:dyDescent="0.25">
      <c r="E14" t="s">
        <v>2</v>
      </c>
      <c r="F14" t="s">
        <v>12</v>
      </c>
    </row>
    <row r="15" spans="5:6" x14ac:dyDescent="0.25">
      <c r="E15">
        <v>45</v>
      </c>
      <c r="F15">
        <f>E15*(-1.5452)+120.93</f>
        <v>51.396000000000015</v>
      </c>
    </row>
    <row r="16" spans="5:6" x14ac:dyDescent="0.25">
      <c r="E16">
        <v>55</v>
      </c>
      <c r="F16">
        <f t="shared" ref="F16:F17" si="0">E16*(-1.5452)+120.93</f>
        <v>35.944000000000017</v>
      </c>
    </row>
    <row r="17" spans="5:6" x14ac:dyDescent="0.25">
      <c r="E17">
        <v>65</v>
      </c>
      <c r="F17">
        <f t="shared" si="0"/>
        <v>20.492000000000019</v>
      </c>
    </row>
  </sheetData>
  <sheetProtection password="CDFC"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F17"/>
  <sheetViews>
    <sheetView workbookViewId="0">
      <selection activeCell="B35" sqref="B35"/>
    </sheetView>
  </sheetViews>
  <sheetFormatPr defaultRowHeight="15" x14ac:dyDescent="0.25"/>
  <cols>
    <col min="5" max="5" width="20.7109375" customWidth="1"/>
    <col min="6" max="6" width="31.140625" customWidth="1"/>
  </cols>
  <sheetData>
    <row r="2" spans="5:6" x14ac:dyDescent="0.25">
      <c r="E2" t="s">
        <v>121</v>
      </c>
      <c r="F2" t="s">
        <v>122</v>
      </c>
    </row>
    <row r="3" spans="5:6" x14ac:dyDescent="0.25">
      <c r="E3">
        <v>3</v>
      </c>
      <c r="F3">
        <v>98</v>
      </c>
    </row>
    <row r="4" spans="5:6" x14ac:dyDescent="0.25">
      <c r="E4">
        <v>5</v>
      </c>
      <c r="F4">
        <v>90</v>
      </c>
    </row>
    <row r="5" spans="5:6" x14ac:dyDescent="0.25">
      <c r="E5">
        <v>10</v>
      </c>
      <c r="F5">
        <v>67</v>
      </c>
    </row>
    <row r="6" spans="5:6" x14ac:dyDescent="0.25">
      <c r="E6">
        <v>15</v>
      </c>
      <c r="F6">
        <v>44</v>
      </c>
    </row>
    <row r="7" spans="5:6" x14ac:dyDescent="0.25">
      <c r="E7">
        <v>20</v>
      </c>
      <c r="F7">
        <v>26</v>
      </c>
    </row>
    <row r="8" spans="5:6" x14ac:dyDescent="0.25">
      <c r="E8">
        <v>25</v>
      </c>
      <c r="F8">
        <v>15</v>
      </c>
    </row>
    <row r="9" spans="5:6" x14ac:dyDescent="0.25">
      <c r="E9">
        <v>30</v>
      </c>
      <c r="F9">
        <v>8</v>
      </c>
    </row>
    <row r="10" spans="5:6" x14ac:dyDescent="0.25">
      <c r="E10">
        <v>35</v>
      </c>
      <c r="F10">
        <v>4</v>
      </c>
    </row>
    <row r="17" spans="5:5" x14ac:dyDescent="0.25">
      <c r="E17" t="s">
        <v>124</v>
      </c>
    </row>
  </sheetData>
  <sheetProtection password="CDFC"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83"/>
  <sheetViews>
    <sheetView topLeftCell="A64" workbookViewId="0">
      <selection activeCell="G83" sqref="G83"/>
    </sheetView>
  </sheetViews>
  <sheetFormatPr defaultRowHeight="15" x14ac:dyDescent="0.25"/>
  <cols>
    <col min="3" max="3" width="12.5703125" bestFit="1" customWidth="1"/>
    <col min="4" max="4" width="15.85546875" bestFit="1" customWidth="1"/>
    <col min="5" max="5" width="6.5703125" bestFit="1" customWidth="1"/>
    <col min="6" max="6" width="12.5703125" bestFit="1" customWidth="1"/>
    <col min="7" max="7" width="15.85546875" bestFit="1" customWidth="1"/>
    <col min="12" max="12" width="12.5703125" bestFit="1" customWidth="1"/>
    <col min="13" max="13" width="15.85546875" bestFit="1" customWidth="1"/>
  </cols>
  <sheetData>
    <row r="3" spans="6:15" x14ac:dyDescent="0.25">
      <c r="F3" t="s">
        <v>13</v>
      </c>
      <c r="L3" t="s">
        <v>16</v>
      </c>
    </row>
    <row r="5" spans="6:15" x14ac:dyDescent="0.25">
      <c r="F5" t="s">
        <v>14</v>
      </c>
      <c r="G5" t="s">
        <v>15</v>
      </c>
      <c r="H5" t="s">
        <v>17</v>
      </c>
      <c r="I5" t="s">
        <v>19</v>
      </c>
      <c r="L5" t="s">
        <v>14</v>
      </c>
      <c r="M5" t="s">
        <v>15</v>
      </c>
      <c r="N5" t="s">
        <v>17</v>
      </c>
      <c r="O5" t="s">
        <v>19</v>
      </c>
    </row>
    <row r="6" spans="6:15" x14ac:dyDescent="0.25">
      <c r="F6">
        <v>2500</v>
      </c>
      <c r="G6">
        <v>86.7</v>
      </c>
      <c r="H6">
        <v>97</v>
      </c>
      <c r="I6">
        <f>97-G6</f>
        <v>10.299999999999997</v>
      </c>
      <c r="L6">
        <v>2500</v>
      </c>
      <c r="M6">
        <v>92.3</v>
      </c>
      <c r="N6">
        <v>97</v>
      </c>
      <c r="O6">
        <f>97-M6</f>
        <v>4.7000000000000028</v>
      </c>
    </row>
    <row r="7" spans="6:15" x14ac:dyDescent="0.25">
      <c r="F7">
        <v>3500</v>
      </c>
      <c r="G7">
        <v>84.2</v>
      </c>
      <c r="H7">
        <v>97</v>
      </c>
      <c r="I7">
        <f t="shared" ref="I7:I10" si="0">97-G7</f>
        <v>12.799999999999997</v>
      </c>
      <c r="L7">
        <v>3500</v>
      </c>
      <c r="M7">
        <v>86.7</v>
      </c>
      <c r="N7">
        <v>97</v>
      </c>
      <c r="O7">
        <f t="shared" ref="O7:O11" si="1">97-M7</f>
        <v>10.299999999999997</v>
      </c>
    </row>
    <row r="8" spans="6:15" x14ac:dyDescent="0.25">
      <c r="F8">
        <v>4400</v>
      </c>
      <c r="G8">
        <v>77.599999999999994</v>
      </c>
      <c r="H8">
        <v>97</v>
      </c>
      <c r="I8">
        <f t="shared" si="0"/>
        <v>19.400000000000006</v>
      </c>
      <c r="L8">
        <v>4400</v>
      </c>
      <c r="M8">
        <v>84.2</v>
      </c>
      <c r="N8">
        <v>97</v>
      </c>
      <c r="O8">
        <f t="shared" si="1"/>
        <v>12.799999999999997</v>
      </c>
    </row>
    <row r="9" spans="6:15" x14ac:dyDescent="0.25">
      <c r="F9">
        <v>10000</v>
      </c>
      <c r="G9">
        <v>66.5</v>
      </c>
      <c r="I9">
        <f t="shared" si="0"/>
        <v>30.5</v>
      </c>
      <c r="L9">
        <v>10000</v>
      </c>
      <c r="M9">
        <v>75.900000000000006</v>
      </c>
      <c r="O9">
        <f t="shared" si="1"/>
        <v>21.099999999999994</v>
      </c>
    </row>
    <row r="10" spans="6:15" x14ac:dyDescent="0.25">
      <c r="F10">
        <v>40000</v>
      </c>
      <c r="G10">
        <v>54.1</v>
      </c>
      <c r="I10">
        <f t="shared" si="0"/>
        <v>42.9</v>
      </c>
      <c r="L10">
        <v>15000</v>
      </c>
      <c r="M10">
        <v>66.5</v>
      </c>
      <c r="O10">
        <f t="shared" si="1"/>
        <v>30.5</v>
      </c>
    </row>
    <row r="11" spans="6:15" x14ac:dyDescent="0.25">
      <c r="L11">
        <v>60000</v>
      </c>
      <c r="M11">
        <v>54.1</v>
      </c>
      <c r="O11">
        <f t="shared" si="1"/>
        <v>42.9</v>
      </c>
    </row>
    <row r="39" spans="3:15" x14ac:dyDescent="0.25">
      <c r="M39" t="s">
        <v>18</v>
      </c>
    </row>
    <row r="40" spans="3:15" x14ac:dyDescent="0.25">
      <c r="C40" t="s">
        <v>18</v>
      </c>
      <c r="M40" t="s">
        <v>14</v>
      </c>
      <c r="N40" t="s">
        <v>15</v>
      </c>
      <c r="O40" t="s">
        <v>17</v>
      </c>
    </row>
    <row r="41" spans="3:15" x14ac:dyDescent="0.25">
      <c r="C41" t="s">
        <v>14</v>
      </c>
      <c r="D41" t="s">
        <v>15</v>
      </c>
      <c r="E41" t="s">
        <v>17</v>
      </c>
      <c r="M41">
        <v>2500</v>
      </c>
      <c r="N41">
        <v>97</v>
      </c>
      <c r="O41">
        <v>97</v>
      </c>
    </row>
    <row r="42" spans="3:15" x14ac:dyDescent="0.25">
      <c r="C42">
        <v>2500</v>
      </c>
      <c r="D42">
        <v>92.3</v>
      </c>
      <c r="E42">
        <v>97</v>
      </c>
      <c r="M42">
        <v>3500</v>
      </c>
      <c r="N42">
        <v>94.8</v>
      </c>
    </row>
    <row r="43" spans="3:15" x14ac:dyDescent="0.25">
      <c r="C43">
        <v>3500</v>
      </c>
      <c r="D43">
        <v>86.7</v>
      </c>
      <c r="M43">
        <v>4400</v>
      </c>
      <c r="N43">
        <v>92.3</v>
      </c>
      <c r="O43">
        <v>97</v>
      </c>
    </row>
    <row r="44" spans="3:15" x14ac:dyDescent="0.25">
      <c r="C44">
        <v>4400</v>
      </c>
      <c r="D44">
        <v>84.2</v>
      </c>
      <c r="E44">
        <v>97</v>
      </c>
      <c r="M44">
        <v>10000</v>
      </c>
      <c r="N44">
        <v>84.2</v>
      </c>
    </row>
    <row r="45" spans="3:15" x14ac:dyDescent="0.25">
      <c r="C45">
        <v>10000</v>
      </c>
      <c r="D45">
        <v>75.900000000000006</v>
      </c>
      <c r="M45">
        <v>15000</v>
      </c>
      <c r="N45">
        <v>77.599999999999994</v>
      </c>
    </row>
    <row r="46" spans="3:15" x14ac:dyDescent="0.25">
      <c r="C46">
        <v>15000</v>
      </c>
      <c r="D46">
        <v>66.5</v>
      </c>
      <c r="M46">
        <v>22000</v>
      </c>
      <c r="N46">
        <v>75.900000000000006</v>
      </c>
    </row>
    <row r="47" spans="3:15" x14ac:dyDescent="0.25">
      <c r="C47">
        <v>60000</v>
      </c>
      <c r="D47">
        <v>54.1</v>
      </c>
      <c r="M47">
        <v>40000</v>
      </c>
      <c r="N47">
        <v>66.5</v>
      </c>
    </row>
    <row r="75" spans="2:15" x14ac:dyDescent="0.25">
      <c r="C75" t="s">
        <v>18</v>
      </c>
      <c r="M75" t="s">
        <v>18</v>
      </c>
    </row>
    <row r="76" spans="2:15" x14ac:dyDescent="0.25">
      <c r="C76" t="s">
        <v>14</v>
      </c>
      <c r="D76" t="s">
        <v>15</v>
      </c>
      <c r="E76" t="s">
        <v>17</v>
      </c>
      <c r="M76" t="s">
        <v>14</v>
      </c>
      <c r="N76" t="s">
        <v>15</v>
      </c>
      <c r="O76" t="s">
        <v>17</v>
      </c>
    </row>
    <row r="77" spans="2:15" x14ac:dyDescent="0.25">
      <c r="B77">
        <v>2500</v>
      </c>
      <c r="C77">
        <v>2500</v>
      </c>
      <c r="D77">
        <v>97</v>
      </c>
      <c r="E77">
        <v>97</v>
      </c>
      <c r="M77">
        <v>2500</v>
      </c>
      <c r="N77">
        <v>97</v>
      </c>
      <c r="O77">
        <v>97</v>
      </c>
    </row>
    <row r="78" spans="2:15" x14ac:dyDescent="0.25">
      <c r="C78">
        <v>4400</v>
      </c>
      <c r="D78">
        <v>94.6</v>
      </c>
      <c r="M78">
        <v>4400</v>
      </c>
    </row>
    <row r="79" spans="2:15" x14ac:dyDescent="0.25">
      <c r="B79">
        <v>5000</v>
      </c>
      <c r="C79">
        <v>5000</v>
      </c>
      <c r="E79">
        <v>97</v>
      </c>
      <c r="M79">
        <v>5000</v>
      </c>
      <c r="N79">
        <v>94.6</v>
      </c>
      <c r="O79">
        <v>97</v>
      </c>
    </row>
    <row r="80" spans="2:15" x14ac:dyDescent="0.25">
      <c r="C80">
        <v>10000</v>
      </c>
      <c r="D80">
        <v>84.2</v>
      </c>
      <c r="M80">
        <v>10000</v>
      </c>
      <c r="N80">
        <v>91.2</v>
      </c>
    </row>
    <row r="81" spans="3:14" x14ac:dyDescent="0.25">
      <c r="C81">
        <v>15000</v>
      </c>
      <c r="D81">
        <v>77.599999999999994</v>
      </c>
      <c r="M81">
        <v>15000</v>
      </c>
      <c r="N81">
        <v>84.2</v>
      </c>
    </row>
    <row r="82" spans="3:14" x14ac:dyDescent="0.25">
      <c r="C82">
        <v>22000</v>
      </c>
      <c r="D82">
        <v>75.900000000000006</v>
      </c>
      <c r="M82">
        <v>40000</v>
      </c>
      <c r="N82">
        <v>75.900000000000006</v>
      </c>
    </row>
    <row r="83" spans="3:14" x14ac:dyDescent="0.25">
      <c r="C83">
        <v>40000</v>
      </c>
      <c r="D83">
        <v>66.5</v>
      </c>
      <c r="M83">
        <v>50000</v>
      </c>
      <c r="N83">
        <v>66.5</v>
      </c>
    </row>
  </sheetData>
  <sheetProtection password="CDFC"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7"/>
  <sheetViews>
    <sheetView topLeftCell="B1" workbookViewId="0">
      <selection activeCell="E12" sqref="E12"/>
    </sheetView>
  </sheetViews>
  <sheetFormatPr defaultRowHeight="15" x14ac:dyDescent="0.25"/>
  <cols>
    <col min="2" max="2" width="25" bestFit="1" customWidth="1"/>
    <col min="3" max="3" width="14.5703125" bestFit="1" customWidth="1"/>
    <col min="4" max="4" width="13.28515625" customWidth="1"/>
    <col min="6" max="6" width="22.140625" bestFit="1" customWidth="1"/>
    <col min="9" max="9" width="28.5703125" customWidth="1"/>
    <col min="10" max="10" width="12.42578125" customWidth="1"/>
    <col min="11" max="11" width="12" customWidth="1"/>
    <col min="12" max="12" width="17" customWidth="1"/>
    <col min="13" max="14" width="20.85546875" customWidth="1"/>
    <col min="15" max="15" width="9.140625" customWidth="1"/>
    <col min="16" max="16" width="14.28515625" customWidth="1"/>
    <col min="17" max="17" width="9.140625" customWidth="1"/>
  </cols>
  <sheetData>
    <row r="2" spans="2:15" s="8" customFormat="1" ht="60" x14ac:dyDescent="0.25">
      <c r="B2" s="8" t="s">
        <v>28</v>
      </c>
      <c r="C2" s="13">
        <v>1</v>
      </c>
      <c r="D2" s="8" t="s">
        <v>30</v>
      </c>
      <c r="F2" s="8" t="s">
        <v>20</v>
      </c>
      <c r="G2" s="8" t="s">
        <v>130</v>
      </c>
      <c r="I2" s="8" t="s">
        <v>193</v>
      </c>
      <c r="J2" s="8" t="s">
        <v>192</v>
      </c>
      <c r="K2" s="8" t="s">
        <v>32</v>
      </c>
      <c r="L2" s="8" t="s">
        <v>71</v>
      </c>
      <c r="M2" s="8" t="s">
        <v>78</v>
      </c>
      <c r="N2" s="8" t="s">
        <v>79</v>
      </c>
    </row>
    <row r="3" spans="2:15" x14ac:dyDescent="0.25">
      <c r="B3" t="s">
        <v>38</v>
      </c>
      <c r="F3" t="s">
        <v>68</v>
      </c>
      <c r="G3" s="13">
        <v>35000</v>
      </c>
      <c r="I3" t="s">
        <v>25</v>
      </c>
      <c r="J3">
        <v>0.25</v>
      </c>
      <c r="K3">
        <f>J3*G7</f>
        <v>8750</v>
      </c>
      <c r="L3">
        <f>$K$34*K3/$G$3</f>
        <v>1.0799612775797864</v>
      </c>
      <c r="M3">
        <f>LOOKUP(C2,E23:F28)</f>
        <v>9.2999999999999999E-2</v>
      </c>
      <c r="N3" s="9">
        <f>M3*L3</f>
        <v>0.10043639881492014</v>
      </c>
    </row>
    <row r="4" spans="2:15" x14ac:dyDescent="0.25">
      <c r="F4" t="s">
        <v>35</v>
      </c>
      <c r="G4" s="13">
        <v>1</v>
      </c>
      <c r="I4" t="s">
        <v>24</v>
      </c>
      <c r="J4">
        <v>0.25</v>
      </c>
      <c r="K4">
        <f>J4*G7</f>
        <v>8750</v>
      </c>
      <c r="L4">
        <f t="shared" ref="L4:L6" si="0">$K$34*K4/$G$3</f>
        <v>1.0799612775797864</v>
      </c>
      <c r="M4">
        <f>LOOKUP(C2,E29:F34)</f>
        <v>0.13400000000000001</v>
      </c>
      <c r="N4" s="9">
        <f t="shared" ref="N4:N6" si="1">M4*L4</f>
        <v>0.14471481119569138</v>
      </c>
    </row>
    <row r="5" spans="2:15" x14ac:dyDescent="0.25">
      <c r="F5" t="s">
        <v>36</v>
      </c>
      <c r="G5" s="13">
        <v>0</v>
      </c>
      <c r="I5" t="s">
        <v>26</v>
      </c>
      <c r="J5">
        <v>0.25</v>
      </c>
      <c r="K5">
        <f>J5*G7</f>
        <v>8750</v>
      </c>
      <c r="L5">
        <f t="shared" si="0"/>
        <v>1.0799612775797864</v>
      </c>
      <c r="M5">
        <f>LOOKUP(C2,E35:F40)</f>
        <v>0.158</v>
      </c>
      <c r="N5" s="9">
        <f t="shared" si="1"/>
        <v>0.17063388185760625</v>
      </c>
    </row>
    <row r="6" spans="2:15" x14ac:dyDescent="0.25">
      <c r="F6" t="s">
        <v>37</v>
      </c>
      <c r="G6" s="13">
        <v>0</v>
      </c>
      <c r="I6" t="s">
        <v>27</v>
      </c>
      <c r="J6">
        <v>0.25</v>
      </c>
      <c r="K6">
        <f>J6*G7</f>
        <v>8750</v>
      </c>
      <c r="L6">
        <f t="shared" si="0"/>
        <v>1.0799612775797864</v>
      </c>
      <c r="M6">
        <f>LOOKUP(C2,E41:F46)</f>
        <v>0.158</v>
      </c>
      <c r="N6" s="9">
        <f t="shared" si="1"/>
        <v>0.17063388185760625</v>
      </c>
    </row>
    <row r="7" spans="2:15" x14ac:dyDescent="0.25">
      <c r="B7" t="s">
        <v>29</v>
      </c>
      <c r="C7" s="13">
        <v>365</v>
      </c>
      <c r="D7" t="s">
        <v>31</v>
      </c>
      <c r="F7" t="s">
        <v>21</v>
      </c>
      <c r="G7">
        <f>G3*G4</f>
        <v>35000</v>
      </c>
      <c r="N7" s="9">
        <f>SUM(N3:N6)</f>
        <v>0.58641897372582408</v>
      </c>
      <c r="O7" t="s">
        <v>72</v>
      </c>
    </row>
    <row r="8" spans="2:15" x14ac:dyDescent="0.25">
      <c r="F8" t="s">
        <v>22</v>
      </c>
      <c r="G8">
        <f>G3*G5</f>
        <v>0</v>
      </c>
      <c r="M8" t="s">
        <v>73</v>
      </c>
      <c r="N8" t="s">
        <v>74</v>
      </c>
    </row>
    <row r="9" spans="2:15" x14ac:dyDescent="0.25">
      <c r="F9" t="s">
        <v>23</v>
      </c>
      <c r="G9">
        <f>G3*G6</f>
        <v>0</v>
      </c>
      <c r="M9">
        <v>0.03</v>
      </c>
      <c r="N9">
        <f>M9*L3</f>
        <v>3.2398838327393591E-2</v>
      </c>
    </row>
    <row r="10" spans="2:15" x14ac:dyDescent="0.25">
      <c r="F10" s="8"/>
      <c r="M10">
        <v>0.03</v>
      </c>
      <c r="N10">
        <f t="shared" ref="N10:N12" si="2">M10*L4</f>
        <v>3.2398838327393591E-2</v>
      </c>
    </row>
    <row r="11" spans="2:15" x14ac:dyDescent="0.25">
      <c r="M11">
        <v>0.03</v>
      </c>
      <c r="N11">
        <f t="shared" si="2"/>
        <v>3.2398838327393591E-2</v>
      </c>
    </row>
    <row r="12" spans="2:15" x14ac:dyDescent="0.25">
      <c r="M12">
        <v>0.03</v>
      </c>
      <c r="N12">
        <f t="shared" si="2"/>
        <v>3.2398838327393591E-2</v>
      </c>
    </row>
    <row r="13" spans="2:15" x14ac:dyDescent="0.25">
      <c r="N13" s="38">
        <f>SUM(N9:N12)</f>
        <v>0.12959535330957436</v>
      </c>
      <c r="O13" t="s">
        <v>75</v>
      </c>
    </row>
    <row r="15" spans="2:15" ht="60" x14ac:dyDescent="0.25">
      <c r="B15" t="s">
        <v>50</v>
      </c>
      <c r="C15" s="13">
        <v>1</v>
      </c>
      <c r="D15" s="8" t="s">
        <v>51</v>
      </c>
      <c r="F15" s="8" t="s">
        <v>76</v>
      </c>
      <c r="G15" s="15">
        <f>N15</f>
        <v>0.45682362041624969</v>
      </c>
      <c r="H15" t="s">
        <v>77</v>
      </c>
      <c r="N15" s="9">
        <f>N7-N13</f>
        <v>0.45682362041624969</v>
      </c>
      <c r="O15" t="s">
        <v>34</v>
      </c>
    </row>
    <row r="17" spans="2:14" ht="45" x14ac:dyDescent="0.25">
      <c r="B17" s="8" t="s">
        <v>57</v>
      </c>
      <c r="C17" s="13">
        <v>2</v>
      </c>
    </row>
    <row r="18" spans="2:14" x14ac:dyDescent="0.25">
      <c r="B18" s="10" t="s">
        <v>59</v>
      </c>
      <c r="C18" s="13">
        <v>55</v>
      </c>
    </row>
    <row r="19" spans="2:14" x14ac:dyDescent="0.25">
      <c r="B19" s="10" t="s">
        <v>62</v>
      </c>
      <c r="C19" s="14" t="s">
        <v>61</v>
      </c>
    </row>
    <row r="20" spans="2:14" x14ac:dyDescent="0.25">
      <c r="B20" s="10" t="s">
        <v>66</v>
      </c>
      <c r="C20" s="13">
        <v>12</v>
      </c>
      <c r="D20" s="10" t="s">
        <v>65</v>
      </c>
    </row>
    <row r="21" spans="2:14" x14ac:dyDescent="0.25">
      <c r="B21" s="10"/>
      <c r="C21" s="10"/>
    </row>
    <row r="22" spans="2:14" x14ac:dyDescent="0.25">
      <c r="B22" s="10"/>
      <c r="C22" s="10"/>
      <c r="D22" t="s">
        <v>48</v>
      </c>
      <c r="E22" t="s">
        <v>49</v>
      </c>
      <c r="F22" t="s">
        <v>136</v>
      </c>
      <c r="I22" s="10" t="s">
        <v>70</v>
      </c>
      <c r="J22" s="10"/>
      <c r="K22" s="10"/>
      <c r="L22" s="10"/>
      <c r="M22" s="10"/>
    </row>
    <row r="23" spans="2:14" x14ac:dyDescent="0.25">
      <c r="B23" s="10"/>
      <c r="C23" s="10"/>
      <c r="D23">
        <v>2500</v>
      </c>
      <c r="E23">
        <v>0</v>
      </c>
      <c r="F23">
        <v>0.24099999999999999</v>
      </c>
      <c r="I23" s="10"/>
      <c r="J23" s="10"/>
      <c r="K23" s="11"/>
      <c r="L23" s="10"/>
      <c r="M23" s="10"/>
      <c r="N23" t="s">
        <v>52</v>
      </c>
    </row>
    <row r="24" spans="2:14" x14ac:dyDescent="0.25">
      <c r="B24" s="10"/>
      <c r="C24" s="10"/>
      <c r="D24">
        <v>2500</v>
      </c>
      <c r="E24">
        <v>0.5</v>
      </c>
      <c r="F24">
        <v>0.13400000000000001</v>
      </c>
      <c r="I24" s="10"/>
      <c r="J24" s="10"/>
      <c r="K24" s="10"/>
      <c r="L24" s="10"/>
      <c r="M24" s="10"/>
    </row>
    <row r="25" spans="2:14" x14ac:dyDescent="0.25">
      <c r="B25" s="10"/>
      <c r="C25" s="10"/>
      <c r="D25">
        <v>2500</v>
      </c>
      <c r="E25">
        <v>1</v>
      </c>
      <c r="F25">
        <v>9.2999999999999999E-2</v>
      </c>
      <c r="I25" s="10" t="s">
        <v>53</v>
      </c>
      <c r="J25" s="10"/>
      <c r="K25" s="10">
        <f>IF(G3&lt;40001,((EXP(-0.2104-0.04128*G3/1000))*0.933*2*1.609*365*G3/1000000),0.0001703*G3)</f>
        <v>7.3279815272589408</v>
      </c>
      <c r="L25" s="10" t="s">
        <v>54</v>
      </c>
      <c r="M25" s="10"/>
    </row>
    <row r="26" spans="2:14" x14ac:dyDescent="0.25">
      <c r="B26" s="10"/>
      <c r="C26" s="10"/>
      <c r="D26">
        <v>2500</v>
      </c>
      <c r="E26">
        <v>1.5</v>
      </c>
      <c r="F26">
        <v>5.3999999999999999E-2</v>
      </c>
      <c r="I26" s="10" t="s">
        <v>55</v>
      </c>
      <c r="J26" s="10"/>
      <c r="K26" s="10"/>
      <c r="L26" s="10"/>
      <c r="M26" s="10"/>
    </row>
    <row r="27" spans="2:14" x14ac:dyDescent="0.25">
      <c r="B27" s="10"/>
      <c r="C27" s="10"/>
      <c r="D27">
        <v>2500</v>
      </c>
      <c r="E27">
        <v>2</v>
      </c>
      <c r="F27">
        <v>3.1E-2</v>
      </c>
      <c r="I27" s="10" t="s">
        <v>56</v>
      </c>
      <c r="J27" s="10"/>
      <c r="K27" s="10">
        <f>IF(C17&gt;2,0.91,1)</f>
        <v>1</v>
      </c>
      <c r="L27" s="10"/>
      <c r="M27" s="10"/>
    </row>
    <row r="28" spans="2:14" x14ac:dyDescent="0.25">
      <c r="B28" s="10"/>
      <c r="C28" s="10"/>
      <c r="D28">
        <v>2500</v>
      </c>
      <c r="E28">
        <v>2.5</v>
      </c>
      <c r="F28">
        <v>3.1E-2</v>
      </c>
      <c r="I28" s="10" t="s">
        <v>58</v>
      </c>
      <c r="J28" s="10"/>
      <c r="K28" s="10">
        <f>IF(C18&lt;65, 1.179,1)</f>
        <v>1.179</v>
      </c>
      <c r="L28" s="10"/>
      <c r="M28" s="10"/>
    </row>
    <row r="29" spans="2:14" x14ac:dyDescent="0.25">
      <c r="B29" s="10"/>
      <c r="C29" s="10"/>
      <c r="D29">
        <v>3500</v>
      </c>
      <c r="E29">
        <v>0</v>
      </c>
      <c r="F29">
        <v>0.24099999999999999</v>
      </c>
      <c r="I29" s="10" t="s">
        <v>60</v>
      </c>
      <c r="J29" s="10"/>
      <c r="K29" s="10">
        <f>IF(C19="Flat", 1,1.66)</f>
        <v>1</v>
      </c>
      <c r="L29" s="10"/>
      <c r="M29" s="10"/>
    </row>
    <row r="30" spans="2:14" x14ac:dyDescent="0.25">
      <c r="B30" s="10"/>
      <c r="C30" s="10"/>
      <c r="D30">
        <v>3500</v>
      </c>
      <c r="E30">
        <v>0.5</v>
      </c>
      <c r="F30">
        <v>0.158</v>
      </c>
      <c r="I30" s="10" t="s">
        <v>64</v>
      </c>
      <c r="J30" s="10"/>
      <c r="K30" s="10">
        <f>LOOKUP(C20,B34:C37)</f>
        <v>1</v>
      </c>
      <c r="L30" s="10"/>
      <c r="M30" s="10"/>
    </row>
    <row r="31" spans="2:14" x14ac:dyDescent="0.25">
      <c r="B31" s="10"/>
      <c r="C31" s="10"/>
      <c r="D31">
        <v>3500</v>
      </c>
      <c r="E31">
        <v>1</v>
      </c>
      <c r="F31">
        <v>0.13400000000000001</v>
      </c>
      <c r="I31" s="10"/>
      <c r="J31" s="10"/>
      <c r="K31" s="10"/>
      <c r="L31" s="10"/>
      <c r="M31" s="10"/>
    </row>
    <row r="32" spans="2:14" x14ac:dyDescent="0.25">
      <c r="B32" s="10"/>
      <c r="C32" s="10"/>
      <c r="D32">
        <v>3500</v>
      </c>
      <c r="E32">
        <v>1.5</v>
      </c>
      <c r="F32">
        <v>9.2999999999999999E-2</v>
      </c>
      <c r="I32" s="10" t="s">
        <v>67</v>
      </c>
      <c r="J32" s="10"/>
      <c r="K32" s="10">
        <f>K25*K27*K28*K29*K30</f>
        <v>8.6396902206382915</v>
      </c>
      <c r="L32" s="10"/>
      <c r="M32" s="10"/>
    </row>
    <row r="33" spans="2:13" x14ac:dyDescent="0.25">
      <c r="B33" s="10" t="s">
        <v>64</v>
      </c>
      <c r="C33" s="10" t="s">
        <v>63</v>
      </c>
      <c r="D33">
        <v>3500</v>
      </c>
      <c r="E33">
        <v>2</v>
      </c>
      <c r="F33">
        <v>5.3999999999999999E-2</v>
      </c>
      <c r="I33" s="10" t="s">
        <v>69</v>
      </c>
      <c r="J33" s="10"/>
      <c r="K33" s="10">
        <f>K32/2</f>
        <v>4.3198451103191458</v>
      </c>
      <c r="L33" s="10"/>
      <c r="M33" s="10"/>
    </row>
    <row r="34" spans="2:13" ht="45" x14ac:dyDescent="0.25">
      <c r="B34" s="10">
        <v>9</v>
      </c>
      <c r="C34" s="10">
        <v>1.25</v>
      </c>
      <c r="D34">
        <v>3500</v>
      </c>
      <c r="E34">
        <v>2.5</v>
      </c>
      <c r="F34">
        <v>3.1E-2</v>
      </c>
      <c r="I34" s="12" t="s">
        <v>190</v>
      </c>
      <c r="J34" s="10"/>
      <c r="K34" s="10">
        <f>K33*(C7/365)*(C15/1)</f>
        <v>4.3198451103191458</v>
      </c>
      <c r="L34" s="10"/>
      <c r="M34" s="10"/>
    </row>
    <row r="35" spans="2:13" x14ac:dyDescent="0.25">
      <c r="B35" s="10">
        <v>10</v>
      </c>
      <c r="C35" s="10">
        <v>1.1499999999999999</v>
      </c>
      <c r="D35">
        <v>4400</v>
      </c>
      <c r="E35">
        <v>0</v>
      </c>
      <c r="F35">
        <v>0.34399999999999997</v>
      </c>
    </row>
    <row r="36" spans="2:13" x14ac:dyDescent="0.25">
      <c r="B36" s="10">
        <v>11</v>
      </c>
      <c r="C36" s="10">
        <v>1.03</v>
      </c>
      <c r="D36">
        <v>4400</v>
      </c>
      <c r="E36">
        <v>0.5</v>
      </c>
      <c r="F36">
        <v>0.22600000000000001</v>
      </c>
    </row>
    <row r="37" spans="2:13" x14ac:dyDescent="0.25">
      <c r="B37" s="10">
        <v>12</v>
      </c>
      <c r="C37" s="10">
        <v>1</v>
      </c>
      <c r="D37">
        <v>4400</v>
      </c>
      <c r="E37">
        <v>1</v>
      </c>
      <c r="F37">
        <v>0.158</v>
      </c>
    </row>
    <row r="38" spans="2:13" x14ac:dyDescent="0.25">
      <c r="B38" s="10"/>
      <c r="C38" s="10"/>
      <c r="D38">
        <v>4400</v>
      </c>
      <c r="E38">
        <v>1.5</v>
      </c>
      <c r="F38">
        <v>9.2999999999999999E-2</v>
      </c>
    </row>
    <row r="39" spans="2:13" x14ac:dyDescent="0.25">
      <c r="B39" s="10"/>
      <c r="C39" s="10"/>
      <c r="D39">
        <v>4400</v>
      </c>
      <c r="E39">
        <v>2</v>
      </c>
      <c r="F39">
        <v>9.2999999999999999E-2</v>
      </c>
    </row>
    <row r="40" spans="2:13" x14ac:dyDescent="0.25">
      <c r="B40" s="10"/>
      <c r="C40" s="10"/>
      <c r="D40">
        <v>4400</v>
      </c>
      <c r="E40">
        <v>2.5</v>
      </c>
      <c r="F40">
        <v>5.3999999999999999E-2</v>
      </c>
    </row>
    <row r="41" spans="2:13" x14ac:dyDescent="0.25">
      <c r="B41" s="10"/>
      <c r="C41" s="10"/>
      <c r="D41">
        <v>5000</v>
      </c>
      <c r="E41">
        <v>0</v>
      </c>
      <c r="F41">
        <v>0.34399999999999997</v>
      </c>
    </row>
    <row r="42" spans="2:13" x14ac:dyDescent="0.25">
      <c r="B42" s="10"/>
      <c r="C42" s="10"/>
      <c r="D42">
        <v>5000</v>
      </c>
      <c r="E42">
        <v>0.5</v>
      </c>
      <c r="F42">
        <v>0.22600000000000001</v>
      </c>
    </row>
    <row r="43" spans="2:13" x14ac:dyDescent="0.25">
      <c r="B43" s="10"/>
      <c r="C43" s="10"/>
      <c r="D43">
        <v>5000</v>
      </c>
      <c r="E43">
        <v>1</v>
      </c>
      <c r="F43">
        <v>0.158</v>
      </c>
    </row>
    <row r="44" spans="2:13" x14ac:dyDescent="0.25">
      <c r="B44" s="10"/>
      <c r="C44" s="10"/>
      <c r="D44">
        <v>5000</v>
      </c>
      <c r="E44">
        <v>1.5</v>
      </c>
      <c r="F44">
        <v>0.13400000000000001</v>
      </c>
    </row>
    <row r="45" spans="2:13" x14ac:dyDescent="0.25">
      <c r="B45" s="10"/>
      <c r="C45" s="10"/>
      <c r="D45">
        <v>5000</v>
      </c>
      <c r="E45">
        <v>2</v>
      </c>
      <c r="F45">
        <v>9.2999999999999999E-2</v>
      </c>
    </row>
    <row r="46" spans="2:13" x14ac:dyDescent="0.25">
      <c r="B46" s="10"/>
      <c r="C46" s="10"/>
      <c r="D46">
        <v>5000</v>
      </c>
      <c r="E46">
        <v>2.5</v>
      </c>
      <c r="F46">
        <v>5.3999999999999999E-2</v>
      </c>
    </row>
    <row r="47" spans="2:13" x14ac:dyDescent="0.25">
      <c r="B47" s="10"/>
      <c r="C47" s="10"/>
    </row>
  </sheetData>
  <sheetProtection password="CDFC" sheet="1" objects="1" scenarios="1"/>
  <pageMargins left="0.7" right="0.7" top="0.75" bottom="0.75" header="0.3" footer="0.3"/>
  <pageSetup scale="88"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50"/>
  <sheetViews>
    <sheetView topLeftCell="A7" workbookViewId="0">
      <selection activeCell="L37" sqref="L37"/>
    </sheetView>
  </sheetViews>
  <sheetFormatPr defaultRowHeight="15" x14ac:dyDescent="0.25"/>
  <cols>
    <col min="3" max="3" width="10.85546875" customWidth="1"/>
    <col min="4" max="4" width="9.140625" customWidth="1"/>
  </cols>
  <sheetData>
    <row r="1" spans="3:10" x14ac:dyDescent="0.25">
      <c r="C1" t="s">
        <v>80</v>
      </c>
    </row>
    <row r="3" spans="3:10" x14ac:dyDescent="0.25">
      <c r="C3" t="s">
        <v>81</v>
      </c>
    </row>
    <row r="4" spans="3:10" x14ac:dyDescent="0.25">
      <c r="C4" t="s">
        <v>149</v>
      </c>
    </row>
    <row r="5" spans="3:10" x14ac:dyDescent="0.25">
      <c r="C5" t="s">
        <v>85</v>
      </c>
    </row>
    <row r="6" spans="3:10" x14ac:dyDescent="0.25">
      <c r="C6" t="s">
        <v>82</v>
      </c>
    </row>
    <row r="7" spans="3:10" x14ac:dyDescent="0.25">
      <c r="C7" t="s">
        <v>83</v>
      </c>
    </row>
    <row r="8" spans="3:10" x14ac:dyDescent="0.25">
      <c r="C8" t="s">
        <v>84</v>
      </c>
    </row>
    <row r="10" spans="3:10" x14ac:dyDescent="0.25">
      <c r="E10" t="s">
        <v>191</v>
      </c>
    </row>
    <row r="11" spans="3:10" x14ac:dyDescent="0.25">
      <c r="E11" t="s">
        <v>49</v>
      </c>
    </row>
    <row r="12" spans="3:10" x14ac:dyDescent="0.25">
      <c r="C12" t="s">
        <v>131</v>
      </c>
      <c r="D12" t="s">
        <v>33</v>
      </c>
      <c r="E12" t="s">
        <v>4</v>
      </c>
      <c r="F12" t="s">
        <v>5</v>
      </c>
      <c r="G12" t="s">
        <v>9</v>
      </c>
      <c r="H12" t="s">
        <v>6</v>
      </c>
      <c r="I12" t="s">
        <v>7</v>
      </c>
      <c r="J12" t="s">
        <v>8</v>
      </c>
    </row>
    <row r="13" spans="3:10" x14ac:dyDescent="0.25">
      <c r="C13">
        <v>5000</v>
      </c>
      <c r="D13" s="9">
        <v>6.3873641495615668E-2</v>
      </c>
      <c r="E13" s="9">
        <v>0.55889436308663709</v>
      </c>
      <c r="F13" s="9">
        <v>0.33214293577720155</v>
      </c>
      <c r="G13" s="9">
        <v>0.22515458627204524</v>
      </c>
      <c r="H13" s="9">
        <v>0.13519920783238654</v>
      </c>
      <c r="I13" s="9">
        <v>8.0374332215316396E-2</v>
      </c>
      <c r="J13" s="9">
        <v>2.6614017289839864E-2</v>
      </c>
    </row>
    <row r="14" spans="3:10" x14ac:dyDescent="0.25">
      <c r="C14">
        <v>10000</v>
      </c>
      <c r="D14" s="9">
        <v>0.104</v>
      </c>
      <c r="E14" s="9">
        <v>0.90939999999999999</v>
      </c>
      <c r="F14" s="9">
        <v>0.54039999999999999</v>
      </c>
      <c r="G14" s="9">
        <v>0.3664</v>
      </c>
      <c r="H14" s="9">
        <v>0.22</v>
      </c>
      <c r="I14" s="9">
        <v>0.1308</v>
      </c>
      <c r="J14" s="9">
        <v>4.3400000000000001E-2</v>
      </c>
    </row>
    <row r="15" spans="3:10" x14ac:dyDescent="0.25">
      <c r="C15">
        <v>15000</v>
      </c>
      <c r="D15" s="9">
        <v>0.1268</v>
      </c>
      <c r="E15" s="9">
        <v>1.1095999999999999</v>
      </c>
      <c r="F15" s="9">
        <v>0.65939999999999999</v>
      </c>
      <c r="G15" s="9">
        <v>0.44700000000000001</v>
      </c>
      <c r="H15" s="9">
        <v>0.26840000000000003</v>
      </c>
      <c r="I15" s="9">
        <v>0.15959999999999999</v>
      </c>
      <c r="J15" s="9">
        <v>5.28E-2</v>
      </c>
    </row>
    <row r="16" spans="3:10" x14ac:dyDescent="0.25">
      <c r="C16">
        <v>20000</v>
      </c>
      <c r="D16" s="9">
        <v>0.1376</v>
      </c>
      <c r="E16" s="9">
        <v>1.2036</v>
      </c>
      <c r="F16" s="9">
        <v>0.71519999999999995</v>
      </c>
      <c r="G16" s="9">
        <v>0.48480000000000001</v>
      </c>
      <c r="H16" s="9">
        <v>0.29120000000000001</v>
      </c>
      <c r="I16" s="9">
        <v>0.17299999999999999</v>
      </c>
      <c r="J16" s="9">
        <v>5.74E-2</v>
      </c>
    </row>
    <row r="17" spans="3:11" x14ac:dyDescent="0.25">
      <c r="C17">
        <v>25000</v>
      </c>
      <c r="D17" s="9">
        <v>0.13980000000000001</v>
      </c>
      <c r="E17" s="9">
        <v>1.224</v>
      </c>
      <c r="F17" s="9">
        <v>0.72740000000000005</v>
      </c>
      <c r="G17" s="9">
        <v>0.49299999999999999</v>
      </c>
      <c r="H17" s="9">
        <v>0.29599999999999999</v>
      </c>
      <c r="I17" s="9">
        <v>0.17599999999999999</v>
      </c>
      <c r="J17" s="9">
        <v>5.8200000000000002E-2</v>
      </c>
      <c r="K17" s="9"/>
    </row>
    <row r="18" spans="3:11" x14ac:dyDescent="0.25">
      <c r="C18">
        <v>30000</v>
      </c>
      <c r="D18" s="9">
        <v>0.1366</v>
      </c>
      <c r="E18" s="9">
        <v>1.1948000000000001</v>
      </c>
      <c r="F18" s="9">
        <v>0.71</v>
      </c>
      <c r="G18" s="9">
        <v>0.48139999999999999</v>
      </c>
      <c r="H18" s="9">
        <v>0.28899999999999998</v>
      </c>
      <c r="I18" s="9">
        <v>0.17180000000000001</v>
      </c>
      <c r="J18" s="9">
        <v>5.6800000000000003E-2</v>
      </c>
    </row>
    <row r="19" spans="3:11" x14ac:dyDescent="0.25">
      <c r="C19">
        <v>35000</v>
      </c>
      <c r="D19" s="9">
        <v>0.12959999999999999</v>
      </c>
      <c r="E19" s="9">
        <v>1.1339999999999999</v>
      </c>
      <c r="F19" s="9">
        <v>0.67379999999999995</v>
      </c>
      <c r="G19" s="9">
        <v>0.45679999999999998</v>
      </c>
      <c r="H19" s="9">
        <v>0.27439999999999998</v>
      </c>
      <c r="I19" s="9">
        <v>0.16300000000000001</v>
      </c>
      <c r="J19" s="9">
        <v>5.3999999999999999E-2</v>
      </c>
    </row>
    <row r="20" spans="3:11" x14ac:dyDescent="0.25">
      <c r="C20">
        <v>40000</v>
      </c>
      <c r="D20" s="9">
        <v>0.12039999999999999</v>
      </c>
      <c r="E20" s="9">
        <v>1.0542</v>
      </c>
      <c r="F20" s="9">
        <v>0.62660000000000005</v>
      </c>
      <c r="G20" s="9">
        <v>0.42480000000000001</v>
      </c>
      <c r="H20" s="9">
        <v>0.255</v>
      </c>
      <c r="I20" s="9">
        <v>0.15160000000000001</v>
      </c>
      <c r="J20" s="9">
        <v>5.0200000000000002E-2</v>
      </c>
    </row>
    <row r="21" spans="3:11" x14ac:dyDescent="0.25">
      <c r="C21">
        <v>45000</v>
      </c>
      <c r="D21" s="9">
        <v>0.1355289975</v>
      </c>
      <c r="E21" s="9">
        <v>1.1858787281249998</v>
      </c>
      <c r="F21" s="9">
        <v>0.70475078700000005</v>
      </c>
      <c r="G21" s="9">
        <v>0.4777397161875</v>
      </c>
      <c r="H21" s="9">
        <v>0.28686971137500006</v>
      </c>
      <c r="I21" s="9">
        <v>0.17054065518750003</v>
      </c>
      <c r="J21" s="9">
        <v>5.647041562500002E-2</v>
      </c>
    </row>
    <row r="22" spans="3:11" x14ac:dyDescent="0.25">
      <c r="C22">
        <v>50000</v>
      </c>
      <c r="D22" s="9">
        <v>0.15058777499999998</v>
      </c>
      <c r="E22" s="9">
        <v>1.3176430312499998</v>
      </c>
      <c r="F22" s="9">
        <v>0.78305643000000003</v>
      </c>
      <c r="G22" s="9">
        <v>0.53082190687499997</v>
      </c>
      <c r="H22" s="9">
        <v>0.31874412375</v>
      </c>
      <c r="I22" s="9">
        <v>0.18948961687499999</v>
      </c>
      <c r="J22" s="9">
        <v>6.274490625000001E-2</v>
      </c>
    </row>
    <row r="23" spans="3:11" x14ac:dyDescent="0.25">
      <c r="H23" s="9"/>
    </row>
    <row r="24" spans="3:11" x14ac:dyDescent="0.25">
      <c r="D24" t="s">
        <v>87</v>
      </c>
    </row>
    <row r="25" spans="3:11" x14ac:dyDescent="0.25">
      <c r="E25" t="s">
        <v>49</v>
      </c>
    </row>
    <row r="26" spans="3:11" x14ac:dyDescent="0.25">
      <c r="C26" t="s">
        <v>86</v>
      </c>
      <c r="D26" t="s">
        <v>194</v>
      </c>
      <c r="E26" t="s">
        <v>4</v>
      </c>
      <c r="F26" t="s">
        <v>5</v>
      </c>
      <c r="G26" t="s">
        <v>9</v>
      </c>
      <c r="H26" t="s">
        <v>6</v>
      </c>
      <c r="I26" t="s">
        <v>7</v>
      </c>
      <c r="J26" t="s">
        <v>8</v>
      </c>
    </row>
    <row r="27" spans="3:11" x14ac:dyDescent="0.25">
      <c r="C27">
        <v>5000</v>
      </c>
      <c r="D27" s="9">
        <v>1.9199999999999998E-2</v>
      </c>
      <c r="E27" s="16">
        <f>E13/$D27</f>
        <v>29.10908141076235</v>
      </c>
      <c r="F27" s="16">
        <f t="shared" ref="F27:J27" si="0">F13/$D27</f>
        <v>17.299111238395916</v>
      </c>
      <c r="G27" s="16">
        <f t="shared" si="0"/>
        <v>11.726801368335691</v>
      </c>
      <c r="H27" s="16">
        <f t="shared" si="0"/>
        <v>7.0416254079367997</v>
      </c>
      <c r="I27" s="16">
        <f t="shared" si="0"/>
        <v>4.1861631362143958</v>
      </c>
      <c r="J27" s="16">
        <f t="shared" si="0"/>
        <v>1.3861467338458264</v>
      </c>
    </row>
    <row r="28" spans="3:11" x14ac:dyDescent="0.25">
      <c r="C28">
        <v>10000</v>
      </c>
      <c r="D28" s="9">
        <v>3.1177015990171648E-2</v>
      </c>
      <c r="E28" s="16">
        <f t="shared" ref="E28:E36" si="1">E14/$D28</f>
        <v>29.168923680402333</v>
      </c>
      <c r="F28" s="16">
        <f t="shared" ref="F28:J28" si="2">F14/$D28</f>
        <v>17.333281676808248</v>
      </c>
      <c r="G28" s="16">
        <f t="shared" si="2"/>
        <v>11.752247236089087</v>
      </c>
      <c r="H28" s="16">
        <f t="shared" si="2"/>
        <v>7.0564803273460672</v>
      </c>
      <c r="I28" s="16">
        <f t="shared" si="2"/>
        <v>4.1953983037130254</v>
      </c>
      <c r="J28" s="16">
        <f t="shared" si="2"/>
        <v>1.392051119121906</v>
      </c>
    </row>
    <row r="29" spans="3:11" x14ac:dyDescent="0.25">
      <c r="C29">
        <v>15000</v>
      </c>
      <c r="D29" s="9">
        <v>3.8800000000000001E-2</v>
      </c>
      <c r="E29" s="16">
        <f t="shared" si="1"/>
        <v>28.597938144329895</v>
      </c>
      <c r="F29" s="16">
        <f t="shared" ref="F29:J29" si="3">F15/$D29</f>
        <v>16.994845360824741</v>
      </c>
      <c r="G29" s="16">
        <f t="shared" si="3"/>
        <v>11.520618556701031</v>
      </c>
      <c r="H29" s="16">
        <f t="shared" si="3"/>
        <v>6.9175257731958766</v>
      </c>
      <c r="I29" s="16">
        <f t="shared" si="3"/>
        <v>4.1134020618556697</v>
      </c>
      <c r="J29" s="16">
        <f t="shared" si="3"/>
        <v>1.3608247422680413</v>
      </c>
    </row>
    <row r="30" spans="3:11" x14ac:dyDescent="0.25">
      <c r="C30">
        <v>20000</v>
      </c>
      <c r="D30" s="9">
        <v>4.1300000000000003E-2</v>
      </c>
      <c r="E30" s="16">
        <f t="shared" si="1"/>
        <v>29.142857142857139</v>
      </c>
      <c r="F30" s="16">
        <f t="shared" ref="F30:J30" si="4">F16/$D30</f>
        <v>17.317191283292974</v>
      </c>
      <c r="G30" s="16">
        <f t="shared" si="4"/>
        <v>11.738498789346247</v>
      </c>
      <c r="H30" s="16">
        <f t="shared" si="4"/>
        <v>7.0508474576271185</v>
      </c>
      <c r="I30" s="16">
        <f t="shared" si="4"/>
        <v>4.1888619854721547</v>
      </c>
      <c r="J30" s="16">
        <f t="shared" si="4"/>
        <v>1.3898305084745761</v>
      </c>
    </row>
    <row r="31" spans="3:11" x14ac:dyDescent="0.25">
      <c r="C31">
        <v>25000</v>
      </c>
      <c r="D31" s="9">
        <v>4.2000000000000003E-2</v>
      </c>
      <c r="E31" s="16">
        <f t="shared" si="1"/>
        <v>29.142857142857139</v>
      </c>
      <c r="F31" s="16">
        <f t="shared" ref="F31:J31" si="5">F17/$D31</f>
        <v>17.31904761904762</v>
      </c>
      <c r="G31" s="16">
        <f t="shared" si="5"/>
        <v>11.738095238095237</v>
      </c>
      <c r="H31" s="16">
        <f t="shared" si="5"/>
        <v>7.0476190476190466</v>
      </c>
      <c r="I31" s="16">
        <f t="shared" si="5"/>
        <v>4.1904761904761898</v>
      </c>
      <c r="J31" s="16">
        <f t="shared" si="5"/>
        <v>1.3857142857142857</v>
      </c>
    </row>
    <row r="32" spans="3:11" x14ac:dyDescent="0.25">
      <c r="C32">
        <v>30000</v>
      </c>
      <c r="D32" s="9">
        <v>4.1000000000000002E-2</v>
      </c>
      <c r="E32" s="16">
        <f t="shared" si="1"/>
        <v>29.141463414634146</v>
      </c>
      <c r="F32" s="16">
        <f t="shared" ref="F32:J32" si="6">F18/$D32</f>
        <v>17.317073170731707</v>
      </c>
      <c r="G32" s="16">
        <f t="shared" si="6"/>
        <v>11.741463414634145</v>
      </c>
      <c r="H32" s="16">
        <f t="shared" si="6"/>
        <v>7.0487804878048772</v>
      </c>
      <c r="I32" s="16">
        <f t="shared" si="6"/>
        <v>4.1902439024390246</v>
      </c>
      <c r="J32" s="16">
        <f t="shared" si="6"/>
        <v>1.3853658536585367</v>
      </c>
    </row>
    <row r="33" spans="3:10" x14ac:dyDescent="0.25">
      <c r="C33">
        <v>35000</v>
      </c>
      <c r="D33" s="9">
        <v>3.8899999999999997E-2</v>
      </c>
      <c r="E33" s="16">
        <f t="shared" si="1"/>
        <v>29.151670951156813</v>
      </c>
      <c r="F33" s="16">
        <f t="shared" ref="F33:J33" si="7">F19/$D33</f>
        <v>17.321336760925451</v>
      </c>
      <c r="G33" s="16">
        <f t="shared" si="7"/>
        <v>11.74293059125964</v>
      </c>
      <c r="H33" s="16">
        <f t="shared" si="7"/>
        <v>7.0539845758354751</v>
      </c>
      <c r="I33" s="16">
        <f t="shared" si="7"/>
        <v>4.1902313624678671</v>
      </c>
      <c r="J33" s="16">
        <f t="shared" si="7"/>
        <v>1.3881748071979436</v>
      </c>
    </row>
    <row r="34" spans="3:10" x14ac:dyDescent="0.25">
      <c r="C34">
        <v>40000</v>
      </c>
      <c r="D34" s="9">
        <v>3.61E-2</v>
      </c>
      <c r="E34" s="16">
        <f t="shared" si="1"/>
        <v>29.202216066481995</v>
      </c>
      <c r="F34" s="16">
        <f t="shared" ref="F34:J34" si="8">F20/$D34</f>
        <v>17.357340720221607</v>
      </c>
      <c r="G34" s="16">
        <f t="shared" si="8"/>
        <v>11.767313019390581</v>
      </c>
      <c r="H34" s="16">
        <f t="shared" si="8"/>
        <v>7.0637119113573412</v>
      </c>
      <c r="I34" s="16">
        <f t="shared" si="8"/>
        <v>4.1994459833795021</v>
      </c>
      <c r="J34" s="16">
        <f t="shared" si="8"/>
        <v>1.3905817174515236</v>
      </c>
    </row>
    <row r="35" spans="3:10" x14ac:dyDescent="0.25">
      <c r="C35">
        <v>45000</v>
      </c>
      <c r="D35" s="9">
        <v>4.07E-2</v>
      </c>
      <c r="E35" s="16">
        <f t="shared" si="1"/>
        <v>29.137069487100732</v>
      </c>
      <c r="F35" s="16">
        <f t="shared" ref="F35:J35" si="9">F21/$D35</f>
        <v>17.315744152334155</v>
      </c>
      <c r="G35" s="16">
        <f t="shared" si="9"/>
        <v>11.738076564803439</v>
      </c>
      <c r="H35" s="16">
        <f t="shared" si="9"/>
        <v>7.0483958568796083</v>
      </c>
      <c r="I35" s="16">
        <f t="shared" si="9"/>
        <v>4.1901880881449642</v>
      </c>
      <c r="J35" s="16">
        <f t="shared" si="9"/>
        <v>1.3874794993857498</v>
      </c>
    </row>
    <row r="36" spans="3:10" x14ac:dyDescent="0.25">
      <c r="C36">
        <v>50000</v>
      </c>
      <c r="D36" s="9">
        <v>4.5199999999999997E-2</v>
      </c>
      <c r="E36" s="16">
        <f t="shared" si="1"/>
        <v>29.151394496681412</v>
      </c>
      <c r="F36" s="16">
        <f t="shared" ref="F36:J36" si="10">F22/$D36</f>
        <v>17.324257300884959</v>
      </c>
      <c r="G36" s="16">
        <f t="shared" si="10"/>
        <v>11.743847497234514</v>
      </c>
      <c r="H36" s="16">
        <f t="shared" si="10"/>
        <v>7.0518611449115047</v>
      </c>
      <c r="I36" s="16">
        <f t="shared" si="10"/>
        <v>4.1922481609513271</v>
      </c>
      <c r="J36" s="16">
        <f t="shared" si="10"/>
        <v>1.3881616426991155</v>
      </c>
    </row>
    <row r="38" spans="3:10" x14ac:dyDescent="0.25">
      <c r="D38" t="s">
        <v>88</v>
      </c>
    </row>
    <row r="40" spans="3:10" x14ac:dyDescent="0.25">
      <c r="C40" t="s">
        <v>86</v>
      </c>
      <c r="D40" t="s">
        <v>33</v>
      </c>
      <c r="E40" t="s">
        <v>4</v>
      </c>
      <c r="F40" t="s">
        <v>5</v>
      </c>
      <c r="G40" t="s">
        <v>9</v>
      </c>
      <c r="H40" t="s">
        <v>6</v>
      </c>
      <c r="I40" t="s">
        <v>7</v>
      </c>
      <c r="J40" t="s">
        <v>8</v>
      </c>
    </row>
    <row r="41" spans="3:10" x14ac:dyDescent="0.25">
      <c r="C41">
        <v>5000</v>
      </c>
      <c r="D41" s="9">
        <f>D13/(365*$C27/1000000)</f>
        <v>3.4999255614035982E-2</v>
      </c>
      <c r="E41" s="9">
        <f>E13/(365*$C27/1000000)</f>
        <v>0.30624348662281486</v>
      </c>
      <c r="F41" s="9">
        <f t="shared" ref="F41:J41" si="11">F13/(365*$C27/1000000)</f>
        <v>0.18199612919298716</v>
      </c>
      <c r="G41" s="9">
        <f t="shared" si="11"/>
        <v>0.12337237603947684</v>
      </c>
      <c r="H41" s="9">
        <f t="shared" si="11"/>
        <v>7.4081757716376193E-2</v>
      </c>
      <c r="I41" s="9">
        <f t="shared" si="11"/>
        <v>4.4040729980995286E-2</v>
      </c>
      <c r="J41" s="9">
        <f t="shared" si="11"/>
        <v>1.4583023172514994E-2</v>
      </c>
    </row>
    <row r="42" spans="3:10" x14ac:dyDescent="0.25">
      <c r="C42">
        <v>10000</v>
      </c>
      <c r="D42" s="9">
        <f t="shared" ref="D42:D50" si="12">D14/(365*$C28/1000000)</f>
        <v>2.8493150684931506E-2</v>
      </c>
      <c r="E42" s="9">
        <f t="shared" ref="E42:J42" si="13">E14/(365*$C28/1000000)</f>
        <v>0.24915068493150686</v>
      </c>
      <c r="F42" s="9">
        <f t="shared" si="13"/>
        <v>0.14805479452054796</v>
      </c>
      <c r="G42" s="9">
        <f t="shared" si="13"/>
        <v>0.10038356164383562</v>
      </c>
      <c r="H42" s="9">
        <f t="shared" si="13"/>
        <v>6.0273972602739728E-2</v>
      </c>
      <c r="I42" s="9">
        <f t="shared" si="13"/>
        <v>3.5835616438356165E-2</v>
      </c>
      <c r="J42" s="9">
        <f t="shared" si="13"/>
        <v>1.1890410958904109E-2</v>
      </c>
    </row>
    <row r="43" spans="3:10" x14ac:dyDescent="0.25">
      <c r="C43">
        <v>15000</v>
      </c>
      <c r="D43" s="9">
        <f t="shared" si="12"/>
        <v>2.3159817351598173E-2</v>
      </c>
      <c r="E43" s="9">
        <f t="shared" ref="E43:J43" si="14">E15/(365*$C29/1000000)</f>
        <v>0.20266666666666666</v>
      </c>
      <c r="F43" s="9">
        <f t="shared" si="14"/>
        <v>0.12043835616438357</v>
      </c>
      <c r="G43" s="9">
        <f t="shared" si="14"/>
        <v>8.1643835616438357E-2</v>
      </c>
      <c r="H43" s="9">
        <f t="shared" si="14"/>
        <v>4.9022831050228317E-2</v>
      </c>
      <c r="I43" s="9">
        <f t="shared" si="14"/>
        <v>2.915068493150685E-2</v>
      </c>
      <c r="J43" s="9">
        <f t="shared" si="14"/>
        <v>9.6438356164383569E-3</v>
      </c>
    </row>
    <row r="44" spans="3:10" x14ac:dyDescent="0.25">
      <c r="C44">
        <v>20000</v>
      </c>
      <c r="D44" s="9">
        <f t="shared" si="12"/>
        <v>1.8849315068493151E-2</v>
      </c>
      <c r="E44" s="9">
        <f t="shared" ref="E44:J44" si="15">E16/(365*$C30/1000000)</f>
        <v>0.16487671232876713</v>
      </c>
      <c r="F44" s="9">
        <f t="shared" si="15"/>
        <v>9.7972602739726022E-2</v>
      </c>
      <c r="G44" s="9">
        <f t="shared" si="15"/>
        <v>6.6410958904109585E-2</v>
      </c>
      <c r="H44" s="9">
        <f t="shared" si="15"/>
        <v>3.989041095890411E-2</v>
      </c>
      <c r="I44" s="9">
        <f t="shared" si="15"/>
        <v>2.3698630136986299E-2</v>
      </c>
      <c r="J44" s="9">
        <f t="shared" si="15"/>
        <v>7.8630136986301367E-3</v>
      </c>
    </row>
    <row r="45" spans="3:10" x14ac:dyDescent="0.25">
      <c r="C45">
        <v>25000</v>
      </c>
      <c r="D45" s="9">
        <f t="shared" si="12"/>
        <v>1.532054794520548E-2</v>
      </c>
      <c r="E45" s="9">
        <f t="shared" ref="E45:J45" si="16">E17/(365*$C31/1000000)</f>
        <v>0.13413698630136986</v>
      </c>
      <c r="F45" s="9">
        <f t="shared" si="16"/>
        <v>7.9715068493150687E-2</v>
      </c>
      <c r="G45" s="9">
        <f t="shared" si="16"/>
        <v>5.4027397260273974E-2</v>
      </c>
      <c r="H45" s="9">
        <f t="shared" si="16"/>
        <v>3.2438356164383557E-2</v>
      </c>
      <c r="I45" s="9">
        <f t="shared" si="16"/>
        <v>1.928767123287671E-2</v>
      </c>
      <c r="J45" s="9">
        <f t="shared" si="16"/>
        <v>6.3780821917808223E-3</v>
      </c>
    </row>
    <row r="46" spans="3:10" x14ac:dyDescent="0.25">
      <c r="C46">
        <v>30000</v>
      </c>
      <c r="D46" s="9">
        <f t="shared" si="12"/>
        <v>1.2474885844748859E-2</v>
      </c>
      <c r="E46" s="9">
        <f t="shared" ref="E46:J46" si="17">E18/(365*$C32/1000000)</f>
        <v>0.10911415525114157</v>
      </c>
      <c r="F46" s="9">
        <f t="shared" si="17"/>
        <v>6.4840182648401828E-2</v>
      </c>
      <c r="G46" s="9">
        <f t="shared" si="17"/>
        <v>4.3963470319634705E-2</v>
      </c>
      <c r="H46" s="9">
        <f t="shared" si="17"/>
        <v>2.6392694063926941E-2</v>
      </c>
      <c r="I46" s="9">
        <f t="shared" si="17"/>
        <v>1.5689497716894978E-2</v>
      </c>
      <c r="J46" s="9">
        <f t="shared" si="17"/>
        <v>5.1872146118721466E-3</v>
      </c>
    </row>
    <row r="47" spans="3:10" x14ac:dyDescent="0.25">
      <c r="C47">
        <v>35000</v>
      </c>
      <c r="D47" s="9">
        <f t="shared" si="12"/>
        <v>1.0144814090019568E-2</v>
      </c>
      <c r="E47" s="9">
        <f t="shared" ref="E47:J47" si="18">E19/(365*$C33/1000000)</f>
        <v>8.8767123287671224E-2</v>
      </c>
      <c r="F47" s="9">
        <f t="shared" si="18"/>
        <v>5.274363992172211E-2</v>
      </c>
      <c r="G47" s="9">
        <f t="shared" si="18"/>
        <v>3.57573385518591E-2</v>
      </c>
      <c r="H47" s="9">
        <f t="shared" si="18"/>
        <v>2.1479452054794519E-2</v>
      </c>
      <c r="I47" s="9">
        <f t="shared" si="18"/>
        <v>1.2759295499021526E-2</v>
      </c>
      <c r="J47" s="9">
        <f t="shared" si="18"/>
        <v>4.2270058708414873E-3</v>
      </c>
    </row>
    <row r="48" spans="3:10" x14ac:dyDescent="0.25">
      <c r="C48">
        <v>40000</v>
      </c>
      <c r="D48" s="9">
        <f t="shared" si="12"/>
        <v>8.2465753424657527E-3</v>
      </c>
      <c r="E48" s="9">
        <f t="shared" ref="E48:J48" si="19">E20/(365*$C34/1000000)</f>
        <v>7.2205479452054799E-2</v>
      </c>
      <c r="F48" s="9">
        <f t="shared" si="19"/>
        <v>4.2917808219178087E-2</v>
      </c>
      <c r="G48" s="9">
        <f t="shared" si="19"/>
        <v>2.9095890410958905E-2</v>
      </c>
      <c r="H48" s="9">
        <f t="shared" si="19"/>
        <v>1.7465753424657535E-2</v>
      </c>
      <c r="I48" s="9">
        <f t="shared" si="19"/>
        <v>1.0383561643835618E-2</v>
      </c>
      <c r="J48" s="9">
        <f t="shared" si="19"/>
        <v>3.4383561643835619E-3</v>
      </c>
    </row>
    <row r="49" spans="3:10" x14ac:dyDescent="0.25">
      <c r="C49">
        <v>45000</v>
      </c>
      <c r="D49" s="9">
        <f t="shared" si="12"/>
        <v>8.2513849315068496E-3</v>
      </c>
      <c r="E49" s="9">
        <f t="shared" ref="E49:J49" si="20">E21/(365*$C35/1000000)</f>
        <v>7.2199618150684916E-2</v>
      </c>
      <c r="F49" s="9">
        <f t="shared" si="20"/>
        <v>4.2907201643835616E-2</v>
      </c>
      <c r="G49" s="9">
        <f t="shared" si="20"/>
        <v>2.9086131883561642E-2</v>
      </c>
      <c r="H49" s="9">
        <f t="shared" si="20"/>
        <v>1.7465431438356167E-2</v>
      </c>
      <c r="I49" s="9">
        <f t="shared" si="20"/>
        <v>1.0382992705479453E-2</v>
      </c>
      <c r="J49" s="9">
        <f t="shared" si="20"/>
        <v>3.4380770547945217E-3</v>
      </c>
    </row>
    <row r="50" spans="3:10" x14ac:dyDescent="0.25">
      <c r="C50">
        <v>50000</v>
      </c>
      <c r="D50" s="9">
        <f t="shared" si="12"/>
        <v>8.2513849315068478E-3</v>
      </c>
      <c r="E50" s="9">
        <f t="shared" ref="E50:J50" si="21">E22/(365*$C36/1000000)</f>
        <v>7.2199618150684916E-2</v>
      </c>
      <c r="F50" s="9">
        <f t="shared" si="21"/>
        <v>4.2907201643835616E-2</v>
      </c>
      <c r="G50" s="9">
        <f t="shared" si="21"/>
        <v>2.9086131883561642E-2</v>
      </c>
      <c r="H50" s="9">
        <f t="shared" si="21"/>
        <v>1.7465431438356164E-2</v>
      </c>
      <c r="I50" s="9">
        <f t="shared" si="21"/>
        <v>1.0382992705479452E-2</v>
      </c>
      <c r="J50" s="9">
        <f t="shared" si="21"/>
        <v>3.4380770547945212E-3</v>
      </c>
    </row>
  </sheetData>
  <sheetProtection password="CDFC" sheet="1" objects="1" scenarios="1"/>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9"/>
  <sheetViews>
    <sheetView tabSelected="1" workbookViewId="0">
      <selection activeCell="H14" sqref="H14"/>
    </sheetView>
  </sheetViews>
  <sheetFormatPr defaultRowHeight="15" x14ac:dyDescent="0.25"/>
  <sheetData>
    <row r="2" spans="2:3" x14ac:dyDescent="0.25">
      <c r="B2" s="47" t="s">
        <v>164</v>
      </c>
    </row>
    <row r="4" spans="2:3" x14ac:dyDescent="0.25">
      <c r="B4" s="45" t="s">
        <v>165</v>
      </c>
      <c r="C4" t="s">
        <v>166</v>
      </c>
    </row>
    <row r="5" spans="2:3" x14ac:dyDescent="0.25">
      <c r="C5" t="s">
        <v>167</v>
      </c>
    </row>
    <row r="6" spans="2:3" x14ac:dyDescent="0.25">
      <c r="C6" t="s">
        <v>168</v>
      </c>
    </row>
    <row r="8" spans="2:3" x14ac:dyDescent="0.25">
      <c r="B8" s="46" t="s">
        <v>169</v>
      </c>
      <c r="C8" t="s">
        <v>198</v>
      </c>
    </row>
    <row r="10" spans="2:3" x14ac:dyDescent="0.25">
      <c r="B10" s="43" t="s">
        <v>170</v>
      </c>
      <c r="C10" t="s">
        <v>199</v>
      </c>
    </row>
    <row r="12" spans="2:3" x14ac:dyDescent="0.25">
      <c r="B12" s="44" t="s">
        <v>171</v>
      </c>
      <c r="C12" t="s">
        <v>172</v>
      </c>
    </row>
    <row r="14" spans="2:3" x14ac:dyDescent="0.25">
      <c r="B14" s="62" t="s">
        <v>222</v>
      </c>
      <c r="C14" t="s">
        <v>173</v>
      </c>
    </row>
    <row r="17" spans="2:2" x14ac:dyDescent="0.25">
      <c r="B17" s="47" t="s">
        <v>174</v>
      </c>
    </row>
    <row r="18" spans="2:2" x14ac:dyDescent="0.25">
      <c r="B18" s="47"/>
    </row>
    <row r="19" spans="2:2" s="47" customFormat="1" x14ac:dyDescent="0.25">
      <c r="B19" s="5" t="s">
        <v>208</v>
      </c>
    </row>
    <row r="20" spans="2:2" s="47" customFormat="1" x14ac:dyDescent="0.25">
      <c r="B20" s="47" t="s">
        <v>202</v>
      </c>
    </row>
    <row r="21" spans="2:2" x14ac:dyDescent="0.25">
      <c r="B21" s="5" t="s">
        <v>209</v>
      </c>
    </row>
    <row r="23" spans="2:2" x14ac:dyDescent="0.25">
      <c r="B23" t="s">
        <v>175</v>
      </c>
    </row>
    <row r="24" spans="2:2" x14ac:dyDescent="0.25">
      <c r="B24" t="s">
        <v>210</v>
      </c>
    </row>
    <row r="26" spans="2:2" x14ac:dyDescent="0.25">
      <c r="B26" t="s">
        <v>211</v>
      </c>
    </row>
    <row r="27" spans="2:2" x14ac:dyDescent="0.25">
      <c r="B27" t="s">
        <v>176</v>
      </c>
    </row>
    <row r="28" spans="2:2" x14ac:dyDescent="0.25">
      <c r="B28" t="s">
        <v>212</v>
      </c>
    </row>
    <row r="30" spans="2:2" x14ac:dyDescent="0.25">
      <c r="B30" t="s">
        <v>177</v>
      </c>
    </row>
    <row r="32" spans="2:2" x14ac:dyDescent="0.25">
      <c r="B32" t="s">
        <v>178</v>
      </c>
    </row>
    <row r="33" spans="2:2" x14ac:dyDescent="0.25">
      <c r="B33" t="s">
        <v>179</v>
      </c>
    </row>
    <row r="35" spans="2:2" x14ac:dyDescent="0.25">
      <c r="B35" t="s">
        <v>184</v>
      </c>
    </row>
    <row r="37" spans="2:2" x14ac:dyDescent="0.25">
      <c r="B37" t="s">
        <v>213</v>
      </c>
    </row>
    <row r="38" spans="2:2" x14ac:dyDescent="0.25">
      <c r="B38" t="s">
        <v>207</v>
      </c>
    </row>
    <row r="40" spans="2:2" x14ac:dyDescent="0.25">
      <c r="B40" t="s">
        <v>182</v>
      </c>
    </row>
    <row r="41" spans="2:2" x14ac:dyDescent="0.25">
      <c r="B41" t="s">
        <v>183</v>
      </c>
    </row>
    <row r="43" spans="2:2" x14ac:dyDescent="0.25">
      <c r="B43" t="s">
        <v>186</v>
      </c>
    </row>
    <row r="44" spans="2:2" x14ac:dyDescent="0.25">
      <c r="B44" t="s">
        <v>187</v>
      </c>
    </row>
    <row r="46" spans="2:2" x14ac:dyDescent="0.25">
      <c r="B46" t="s">
        <v>188</v>
      </c>
    </row>
    <row r="47" spans="2:2" x14ac:dyDescent="0.25">
      <c r="B47" t="s">
        <v>189</v>
      </c>
    </row>
    <row r="49" spans="2:2" x14ac:dyDescent="0.25">
      <c r="B49" t="s">
        <v>185</v>
      </c>
    </row>
  </sheetData>
  <sheetProtection password="CDFC" sheet="1" objects="1" scenarios="1"/>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topLeftCell="A16" zoomScale="75" zoomScaleNormal="75" workbookViewId="0">
      <selection activeCell="A22" sqref="A22:XFD33"/>
    </sheetView>
  </sheetViews>
  <sheetFormatPr defaultRowHeight="15" x14ac:dyDescent="0.25"/>
  <cols>
    <col min="1" max="1" width="3.85546875" style="19" customWidth="1"/>
    <col min="2" max="2" width="9.140625" style="19"/>
    <col min="3" max="3" width="14.140625" style="19" customWidth="1"/>
    <col min="4" max="14" width="9.140625" style="19"/>
    <col min="15" max="15" width="28.7109375" style="19" customWidth="1"/>
    <col min="16" max="16" width="31.85546875" style="19" customWidth="1"/>
    <col min="17" max="17" width="3.140625" style="19" customWidth="1"/>
    <col min="18" max="18" width="9.140625" style="19" hidden="1" customWidth="1"/>
    <col min="19" max="19" width="48.140625" style="41" customWidth="1"/>
    <col min="20" max="22" width="9.140625" style="19"/>
    <col min="23" max="23" width="9.140625" style="19" hidden="1" customWidth="1"/>
    <col min="24" max="16384" width="9.140625" style="19"/>
  </cols>
  <sheetData>
    <row r="1" spans="1:23" x14ac:dyDescent="0.25">
      <c r="A1" s="23"/>
      <c r="B1" s="23"/>
      <c r="C1" s="23"/>
      <c r="D1" s="23"/>
      <c r="E1" s="23"/>
      <c r="F1" s="23"/>
      <c r="G1" s="23"/>
      <c r="H1" s="23"/>
      <c r="I1" s="23"/>
      <c r="J1" s="23"/>
      <c r="K1" s="23"/>
      <c r="L1" s="23"/>
      <c r="M1" s="23"/>
      <c r="N1" s="23"/>
      <c r="O1" s="23"/>
      <c r="P1" s="23"/>
      <c r="Q1" s="23"/>
      <c r="R1" s="23"/>
      <c r="S1" s="35"/>
    </row>
    <row r="2" spans="1:23" ht="15" customHeight="1" x14ac:dyDescent="0.3">
      <c r="A2" s="23"/>
      <c r="B2" s="76" t="s">
        <v>180</v>
      </c>
      <c r="C2" s="70"/>
      <c r="D2" s="70"/>
      <c r="E2" s="70"/>
      <c r="F2" s="70"/>
      <c r="G2" s="70"/>
      <c r="H2" s="70"/>
      <c r="I2" s="70"/>
      <c r="J2" s="70"/>
      <c r="K2" s="77"/>
      <c r="L2" s="24" t="s">
        <v>117</v>
      </c>
      <c r="M2" s="25"/>
      <c r="N2" s="26"/>
      <c r="O2" s="30"/>
      <c r="P2" s="36" t="s">
        <v>144</v>
      </c>
      <c r="Q2" s="23"/>
      <c r="S2" s="39"/>
    </row>
    <row r="3" spans="1:23" ht="18.75" x14ac:dyDescent="0.3">
      <c r="A3" s="23"/>
      <c r="B3" s="76" t="s">
        <v>127</v>
      </c>
      <c r="C3" s="70"/>
      <c r="D3" s="70"/>
      <c r="E3" s="70"/>
      <c r="F3" s="70"/>
      <c r="G3" s="70"/>
      <c r="H3" s="70"/>
      <c r="I3" s="70"/>
      <c r="J3" s="70"/>
      <c r="K3" s="77"/>
      <c r="L3" s="24" t="s">
        <v>118</v>
      </c>
      <c r="M3" s="25"/>
      <c r="N3" s="26"/>
      <c r="O3" s="56"/>
      <c r="P3" s="36" t="s">
        <v>145</v>
      </c>
      <c r="Q3" s="23"/>
      <c r="S3" s="39"/>
    </row>
    <row r="4" spans="1:23" ht="18.75" x14ac:dyDescent="0.3">
      <c r="A4" s="23"/>
      <c r="B4" s="76" t="s">
        <v>128</v>
      </c>
      <c r="C4" s="70"/>
      <c r="D4" s="70"/>
      <c r="E4" s="70"/>
      <c r="F4" s="70"/>
      <c r="G4" s="70"/>
      <c r="H4" s="70"/>
      <c r="I4" s="70"/>
      <c r="J4" s="70"/>
      <c r="K4" s="77"/>
      <c r="L4" s="27" t="s">
        <v>125</v>
      </c>
      <c r="M4" s="27"/>
      <c r="N4" s="27"/>
      <c r="O4" s="60"/>
      <c r="P4" s="36" t="s">
        <v>203</v>
      </c>
      <c r="Q4" s="23"/>
      <c r="R4" s="23"/>
      <c r="S4" s="39" t="s">
        <v>214</v>
      </c>
    </row>
    <row r="5" spans="1:23" ht="21" x14ac:dyDescent="0.35">
      <c r="A5" s="23"/>
      <c r="B5" s="71" t="s">
        <v>181</v>
      </c>
      <c r="C5" s="72"/>
      <c r="D5" s="72"/>
      <c r="E5" s="72"/>
      <c r="F5" s="72"/>
      <c r="G5" s="72"/>
      <c r="H5" s="72"/>
      <c r="I5" s="72"/>
      <c r="J5" s="72"/>
      <c r="K5" s="73"/>
      <c r="L5" s="28" t="s">
        <v>126</v>
      </c>
      <c r="M5" s="27"/>
      <c r="N5" s="27"/>
      <c r="O5" s="59"/>
      <c r="P5" s="23"/>
      <c r="Q5" s="23"/>
      <c r="R5" s="23"/>
      <c r="S5" s="35"/>
    </row>
    <row r="6" spans="1:23" x14ac:dyDescent="0.25">
      <c r="A6" s="23"/>
      <c r="B6" s="23"/>
      <c r="C6" s="23"/>
      <c r="D6" s="23"/>
      <c r="E6" s="23"/>
      <c r="F6" s="23"/>
      <c r="G6" s="23"/>
      <c r="H6" s="23"/>
      <c r="I6" s="23"/>
      <c r="J6" s="23"/>
      <c r="K6" s="23"/>
      <c r="L6" s="78" t="s">
        <v>134</v>
      </c>
      <c r="M6" s="79"/>
      <c r="N6" s="80"/>
      <c r="O6" s="61" t="s">
        <v>217</v>
      </c>
      <c r="P6" s="23"/>
      <c r="Q6" s="23"/>
      <c r="R6" s="23"/>
      <c r="S6" s="35"/>
    </row>
    <row r="7" spans="1:23" x14ac:dyDescent="0.25">
      <c r="A7" s="23"/>
      <c r="B7" s="23"/>
      <c r="C7" s="23"/>
      <c r="D7" s="23"/>
      <c r="E7" s="23"/>
      <c r="F7" s="23"/>
      <c r="G7" s="23"/>
      <c r="H7" s="23"/>
      <c r="I7" s="23"/>
      <c r="J7" s="23"/>
      <c r="K7" s="23"/>
      <c r="L7" s="23"/>
      <c r="M7" s="23"/>
      <c r="N7" s="23"/>
      <c r="O7" s="23"/>
      <c r="P7" s="23"/>
      <c r="Q7" s="23"/>
      <c r="R7" s="23"/>
      <c r="S7" s="35"/>
    </row>
    <row r="8" spans="1:23" ht="18.75" x14ac:dyDescent="0.3">
      <c r="A8" s="23"/>
      <c r="B8" s="29" t="s">
        <v>215</v>
      </c>
      <c r="C8" s="23"/>
      <c r="D8" s="23"/>
      <c r="E8" s="23"/>
      <c r="F8" s="23"/>
      <c r="G8" s="23"/>
      <c r="H8" s="23"/>
      <c r="I8" s="23"/>
      <c r="J8" s="23"/>
      <c r="K8" s="23"/>
      <c r="L8" s="23"/>
      <c r="M8" s="23"/>
      <c r="N8" s="23"/>
      <c r="O8" s="69" t="s">
        <v>139</v>
      </c>
      <c r="P8" s="70"/>
      <c r="Q8" s="23"/>
      <c r="R8" s="23"/>
      <c r="S8" s="40" t="s">
        <v>140</v>
      </c>
    </row>
    <row r="9" spans="1:23" ht="15" customHeight="1" x14ac:dyDescent="0.25">
      <c r="A9" s="23"/>
      <c r="B9" s="23"/>
      <c r="C9" s="23"/>
      <c r="D9" s="23"/>
      <c r="E9" s="23"/>
      <c r="F9" s="23"/>
      <c r="G9" s="23"/>
      <c r="H9" s="23"/>
      <c r="I9" s="23"/>
      <c r="J9" s="23"/>
      <c r="K9" s="23"/>
      <c r="L9" s="23"/>
      <c r="M9" s="23"/>
      <c r="N9" s="23"/>
      <c r="O9" s="23"/>
      <c r="P9" s="23"/>
      <c r="Q9" s="23"/>
      <c r="R9" s="23"/>
      <c r="S9" s="35"/>
    </row>
    <row r="10" spans="1:23" ht="15" customHeight="1" x14ac:dyDescent="0.25">
      <c r="A10" s="23"/>
      <c r="B10" s="23" t="s">
        <v>150</v>
      </c>
      <c r="C10" s="23"/>
      <c r="D10" s="23"/>
      <c r="E10" s="23"/>
      <c r="F10" s="23"/>
      <c r="G10" s="23"/>
      <c r="H10" s="23"/>
      <c r="I10" s="23"/>
      <c r="J10" s="23"/>
      <c r="K10" s="23"/>
      <c r="L10" s="23"/>
      <c r="M10" s="23"/>
      <c r="N10" s="23"/>
      <c r="O10" s="20" t="s">
        <v>89</v>
      </c>
      <c r="P10" s="23"/>
      <c r="Q10" s="23"/>
      <c r="R10" s="23" t="s">
        <v>89</v>
      </c>
      <c r="S10" s="35" t="str">
        <f>IF($S$4="Phase III","",(IF(O10="No","","ENTER 'NO' FOR PHASE I OR PHASE II")))</f>
        <v/>
      </c>
      <c r="W10" s="19">
        <f>IF($O10="Yes",(IF($S$4="Phase I",0,IF($S$4="Phase II",0,1))),1)</f>
        <v>1</v>
      </c>
    </row>
    <row r="11" spans="1:23" ht="15" customHeight="1" x14ac:dyDescent="0.25">
      <c r="A11" s="23"/>
      <c r="B11" s="23" t="s">
        <v>92</v>
      </c>
      <c r="C11" s="23"/>
      <c r="D11" s="23"/>
      <c r="E11" s="23"/>
      <c r="F11" s="23"/>
      <c r="G11" s="23"/>
      <c r="H11" s="23"/>
      <c r="I11" s="23"/>
      <c r="J11" s="23"/>
      <c r="K11" s="23"/>
      <c r="L11" s="23"/>
      <c r="M11" s="23"/>
      <c r="N11" s="23"/>
      <c r="O11" s="20">
        <v>1</v>
      </c>
      <c r="P11" s="23" t="s">
        <v>218</v>
      </c>
      <c r="Q11" s="23"/>
      <c r="R11" s="23" t="s">
        <v>90</v>
      </c>
      <c r="S11" s="35" t="str">
        <f>IF(O17&gt;0,(IF(S4="Phase III",(IF(O11*(O18/O17)&gt;0.5,"RECOMMEND RETROFIT PINNING","")),"ENTER ZERO FOR PHASE I OR PHASE II.")),"ENTER ZERO FOR ZERO TCB EXPOSURE.")</f>
        <v>RECOMMEND RETROFIT PINNING</v>
      </c>
      <c r="W11" s="19">
        <f>IF($S$4="Phase I",IF(O11&gt;0,1,11),IF($S$4="Phase II",IF(O11&gt;0,2,22),33))</f>
        <v>33</v>
      </c>
    </row>
    <row r="12" spans="1:23" x14ac:dyDescent="0.25">
      <c r="A12" s="23"/>
      <c r="B12" s="23" t="s">
        <v>151</v>
      </c>
      <c r="C12" s="23"/>
      <c r="D12" s="23"/>
      <c r="E12" s="23"/>
      <c r="F12" s="23"/>
      <c r="G12" s="23"/>
      <c r="H12" s="23"/>
      <c r="I12" s="23"/>
      <c r="J12" s="23"/>
      <c r="K12" s="23"/>
      <c r="L12" s="23"/>
      <c r="M12" s="23"/>
      <c r="N12" s="23"/>
      <c r="O12" s="20" t="s">
        <v>89</v>
      </c>
      <c r="P12" s="23"/>
      <c r="Q12" s="23"/>
      <c r="R12" s="23"/>
      <c r="S12" s="35" t="str">
        <f>IF($S$4="Phase III","",(IF(O12="No","","ENTER 'NO' FOR PHASE I OR PHASE II")))</f>
        <v/>
      </c>
      <c r="W12" s="19">
        <f>IF($O12="Yes",(IF($S$4="Phase I",0,IF($S$4="Phase II",0,1))),1)</f>
        <v>1</v>
      </c>
    </row>
    <row r="13" spans="1:23" x14ac:dyDescent="0.25">
      <c r="A13" s="23"/>
      <c r="B13" s="23" t="s">
        <v>92</v>
      </c>
      <c r="C13" s="23"/>
      <c r="D13" s="23"/>
      <c r="E13" s="23"/>
      <c r="F13" s="23"/>
      <c r="G13" s="23"/>
      <c r="H13" s="23"/>
      <c r="I13" s="23"/>
      <c r="J13" s="23"/>
      <c r="K13" s="23"/>
      <c r="L13" s="23"/>
      <c r="M13" s="23"/>
      <c r="N13" s="23"/>
      <c r="O13" s="20">
        <v>0</v>
      </c>
      <c r="P13" s="23" t="s">
        <v>218</v>
      </c>
      <c r="Q13" s="23"/>
      <c r="R13" s="23"/>
      <c r="S13" s="35" t="str">
        <f>IF(O17&gt;0,(IF(S4="PHASE III",IF(O13*(O18/O17)&gt;0.5,"RECOMMEND RETROFIT PINNING",""),"ENTER ZERO FOR PHASE I OR PHASE II.")),"ENTER ZERO FOR ZERO TCB EXPOSURE.")</f>
        <v/>
      </c>
      <c r="W13" s="19">
        <f>IF($S$4="Phase I",IF(O13&gt;0,1,11),IF($S$4="Phase II",IF(O13&gt;0,2,22),33))</f>
        <v>33</v>
      </c>
    </row>
    <row r="14" spans="1:23" x14ac:dyDescent="0.25">
      <c r="A14" s="23"/>
      <c r="B14" s="23"/>
      <c r="C14" s="23"/>
      <c r="D14" s="23"/>
      <c r="E14" s="23"/>
      <c r="F14" s="23"/>
      <c r="G14" s="23"/>
      <c r="H14" s="23"/>
      <c r="I14" s="23"/>
      <c r="J14" s="23"/>
      <c r="K14" s="23"/>
      <c r="L14" s="23"/>
      <c r="M14" s="23"/>
      <c r="N14" s="23"/>
      <c r="O14" s="23"/>
      <c r="P14" s="23"/>
      <c r="Q14" s="23"/>
      <c r="R14" s="23"/>
      <c r="S14" s="35"/>
    </row>
    <row r="15" spans="1:23" ht="18.75" x14ac:dyDescent="0.3">
      <c r="A15" s="23"/>
      <c r="B15" s="29" t="s">
        <v>129</v>
      </c>
      <c r="C15" s="23"/>
      <c r="D15" s="23"/>
      <c r="E15" s="23"/>
      <c r="F15" s="23"/>
      <c r="G15" s="23"/>
      <c r="H15" s="23"/>
      <c r="I15" s="23"/>
      <c r="J15" s="23"/>
      <c r="K15" s="23"/>
      <c r="L15" s="23"/>
      <c r="M15" s="23"/>
      <c r="N15" s="23"/>
      <c r="O15" s="23"/>
      <c r="P15" s="23"/>
      <c r="Q15" s="23"/>
      <c r="R15" s="23"/>
      <c r="S15" s="35"/>
    </row>
    <row r="16" spans="1:23" x14ac:dyDescent="0.25">
      <c r="A16" s="23"/>
      <c r="B16" s="23"/>
      <c r="C16" s="23"/>
      <c r="D16" s="23"/>
      <c r="E16" s="23"/>
      <c r="F16" s="23"/>
      <c r="G16" s="23"/>
      <c r="H16" s="23"/>
      <c r="I16" s="23"/>
      <c r="J16" s="23"/>
      <c r="K16" s="23"/>
      <c r="L16" s="23"/>
      <c r="M16" s="23"/>
      <c r="N16" s="23"/>
      <c r="O16" s="23"/>
      <c r="P16" s="23"/>
      <c r="Q16" s="23"/>
      <c r="R16" s="23"/>
      <c r="S16" s="35"/>
    </row>
    <row r="17" spans="1:23" x14ac:dyDescent="0.25">
      <c r="A17" s="23"/>
      <c r="B17" s="23" t="s">
        <v>216</v>
      </c>
      <c r="C17" s="23"/>
      <c r="D17" s="23"/>
      <c r="E17" s="23"/>
      <c r="F17" s="23"/>
      <c r="G17" s="23"/>
      <c r="H17" s="23"/>
      <c r="I17" s="23"/>
      <c r="J17" s="23"/>
      <c r="K17" s="23"/>
      <c r="L17" s="23"/>
      <c r="M17" s="23"/>
      <c r="N17" s="23"/>
      <c r="O17" s="20">
        <v>30</v>
      </c>
      <c r="P17" s="23" t="s">
        <v>91</v>
      </c>
      <c r="Q17" s="23"/>
      <c r="R17" s="23"/>
      <c r="S17" s="35" t="str">
        <f>IF($S$4="Phase III","",(IF(O17&gt;0,"ENTER ZERO FOR PHASE I OR PHASE II ANALYSIS.","")))</f>
        <v/>
      </c>
      <c r="W17" s="19">
        <f>IF(S4="Phase III",1,IF(O17&gt;0,0,1))</f>
        <v>1</v>
      </c>
    </row>
    <row r="18" spans="1:23" x14ac:dyDescent="0.25">
      <c r="A18" s="23"/>
      <c r="B18" s="23" t="s">
        <v>111</v>
      </c>
      <c r="C18" s="23"/>
      <c r="D18" s="23"/>
      <c r="E18" s="23"/>
      <c r="F18" s="23"/>
      <c r="G18" s="23"/>
      <c r="H18" s="23"/>
      <c r="I18" s="23"/>
      <c r="J18" s="23"/>
      <c r="K18" s="23"/>
      <c r="L18" s="23"/>
      <c r="M18" s="23"/>
      <c r="N18" s="23"/>
      <c r="O18" s="20">
        <v>30</v>
      </c>
      <c r="P18" s="23" t="s">
        <v>91</v>
      </c>
      <c r="Q18" s="23"/>
      <c r="R18" s="23"/>
      <c r="S18" s="35"/>
    </row>
    <row r="19" spans="1:23" x14ac:dyDescent="0.25">
      <c r="A19" s="23"/>
      <c r="B19" s="23" t="s">
        <v>93</v>
      </c>
      <c r="C19" s="23"/>
      <c r="D19" s="23"/>
      <c r="E19" s="23"/>
      <c r="F19" s="23"/>
      <c r="G19" s="23"/>
      <c r="H19" s="23"/>
      <c r="I19" s="23"/>
      <c r="J19" s="23"/>
      <c r="K19" s="23"/>
      <c r="L19" s="23"/>
      <c r="M19" s="23"/>
      <c r="N19" s="23"/>
      <c r="O19" s="20">
        <v>5</v>
      </c>
      <c r="P19" s="23" t="s">
        <v>94</v>
      </c>
      <c r="Q19" s="23"/>
      <c r="R19" s="23"/>
      <c r="S19" s="35"/>
    </row>
    <row r="20" spans="1:23" x14ac:dyDescent="0.25">
      <c r="A20" s="23"/>
      <c r="B20" s="23" t="s">
        <v>132</v>
      </c>
      <c r="C20" s="23"/>
      <c r="D20" s="23"/>
      <c r="E20" s="23"/>
      <c r="F20" s="23"/>
      <c r="G20" s="23"/>
      <c r="H20" s="23"/>
      <c r="I20" s="23"/>
      <c r="J20" s="23"/>
      <c r="K20" s="23"/>
      <c r="L20" s="23"/>
      <c r="M20" s="23"/>
      <c r="N20" s="23"/>
      <c r="O20" s="20">
        <v>35000</v>
      </c>
      <c r="P20" s="23" t="s">
        <v>99</v>
      </c>
      <c r="Q20" s="23"/>
      <c r="R20" s="23"/>
    </row>
    <row r="21" spans="1:23" x14ac:dyDescent="0.25">
      <c r="A21" s="23"/>
      <c r="B21" s="23" t="s">
        <v>133</v>
      </c>
      <c r="C21" s="23"/>
      <c r="D21" s="23"/>
      <c r="E21" s="23"/>
      <c r="F21" s="23"/>
      <c r="G21" s="23"/>
      <c r="H21" s="23"/>
      <c r="I21" s="23"/>
      <c r="J21" s="23"/>
      <c r="K21" s="23"/>
      <c r="L21" s="23"/>
      <c r="M21" s="23"/>
      <c r="N21" s="23"/>
      <c r="O21" s="20">
        <v>60</v>
      </c>
      <c r="P21" s="23" t="s">
        <v>135</v>
      </c>
      <c r="Q21" s="23"/>
      <c r="R21" s="23"/>
      <c r="S21" s="35"/>
    </row>
    <row r="22" spans="1:23" x14ac:dyDescent="0.25">
      <c r="A22" s="23"/>
      <c r="B22" s="23" t="s">
        <v>95</v>
      </c>
      <c r="C22" s="23"/>
      <c r="D22" s="23"/>
      <c r="E22" s="23"/>
      <c r="F22" s="23"/>
      <c r="G22" s="23"/>
      <c r="H22" s="23"/>
      <c r="I22" s="23"/>
      <c r="J22" s="23"/>
      <c r="K22" s="23"/>
      <c r="L22" s="23"/>
      <c r="M22" s="23"/>
      <c r="N22" s="23"/>
      <c r="O22" s="20">
        <v>1.5</v>
      </c>
      <c r="P22" s="23" t="s">
        <v>96</v>
      </c>
      <c r="Q22" s="23"/>
      <c r="R22" s="23"/>
      <c r="S22" s="35" t="str">
        <f>IF(S4="Phase III","",(IF(O22&lt;0.5,"THE OFFSET MUST BE 0.5 FT OR GREATER.",IF(O22=0.5,"PINNING IS REQUIRED",""))))</f>
        <v/>
      </c>
      <c r="W22" s="19">
        <f>IF(S4="Phase III",0,1)</f>
        <v>0</v>
      </c>
    </row>
    <row r="23" spans="1:23" hidden="1" x14ac:dyDescent="0.25">
      <c r="A23" s="23"/>
      <c r="B23" s="23" t="s">
        <v>100</v>
      </c>
      <c r="C23" s="23"/>
      <c r="D23" s="23"/>
      <c r="E23" s="23"/>
      <c r="F23" s="23"/>
      <c r="G23" s="23"/>
      <c r="H23" s="23"/>
      <c r="I23" s="23"/>
      <c r="J23" s="23"/>
      <c r="K23" s="23"/>
      <c r="L23" s="23"/>
      <c r="M23" s="23"/>
      <c r="N23" s="23"/>
      <c r="O23" s="21">
        <f>IF(O22&gt;0,LOOKUP(O20,'Rate calculations'!C41:D50),O26)</f>
        <v>1.0144814090019568E-2</v>
      </c>
      <c r="P23" s="23"/>
      <c r="Q23" s="23"/>
      <c r="R23" s="23"/>
      <c r="S23" s="35"/>
    </row>
    <row r="24" spans="1:23" hidden="1" x14ac:dyDescent="0.25">
      <c r="A24" s="23"/>
      <c r="B24" s="23"/>
      <c r="C24" s="23"/>
      <c r="D24" s="23"/>
      <c r="E24" s="23"/>
      <c r="F24" s="23"/>
      <c r="G24" s="23"/>
      <c r="H24" s="23"/>
      <c r="I24" s="23"/>
      <c r="J24" s="23"/>
      <c r="K24" s="23"/>
      <c r="L24" s="23"/>
      <c r="M24" s="23"/>
      <c r="N24" s="23"/>
      <c r="P24" s="23"/>
      <c r="Q24" s="23"/>
      <c r="R24" s="23"/>
      <c r="S24" s="35"/>
    </row>
    <row r="25" spans="1:23" hidden="1" x14ac:dyDescent="0.25">
      <c r="A25" s="23"/>
      <c r="B25" s="23" t="s">
        <v>98</v>
      </c>
      <c r="C25" s="23"/>
      <c r="D25" s="23"/>
      <c r="E25" s="23"/>
      <c r="F25" s="23"/>
      <c r="G25" s="23"/>
      <c r="H25" s="23"/>
      <c r="I25" s="23"/>
      <c r="J25" s="23"/>
      <c r="K25" s="23"/>
      <c r="L25" s="23"/>
      <c r="M25" s="23"/>
      <c r="N25" s="23"/>
      <c r="O25" s="19">
        <f>IF(O22=0,3,IF(O22=0.5,4,IF(O22=1,5,IF(O22=1.5,6,IF(O22=2,7,IF(O22=2.5,8,N/A))))))</f>
        <v>6</v>
      </c>
      <c r="P25" s="23"/>
      <c r="Q25" s="23"/>
      <c r="R25" s="23"/>
      <c r="S25" s="35"/>
    </row>
    <row r="26" spans="1:23" hidden="1" x14ac:dyDescent="0.25">
      <c r="A26" s="23"/>
      <c r="B26" s="23" t="s">
        <v>101</v>
      </c>
      <c r="C26" s="23"/>
      <c r="D26" s="23"/>
      <c r="E26" s="23"/>
      <c r="F26" s="23"/>
      <c r="G26" s="23"/>
      <c r="H26" s="23"/>
      <c r="I26" s="23"/>
      <c r="J26" s="23"/>
      <c r="K26" s="23"/>
      <c r="L26" s="23"/>
      <c r="M26" s="23"/>
      <c r="N26" s="23"/>
      <c r="O26" s="21">
        <f>VLOOKUP(O20,'Rate calculations'!C41:J50,'GUIDANCE ON TCB PINNING'!O25,FALSE)</f>
        <v>2.1479452054794519E-2</v>
      </c>
      <c r="P26" s="23"/>
      <c r="Q26" s="23"/>
      <c r="R26" s="23"/>
      <c r="S26" s="35"/>
    </row>
    <row r="27" spans="1:23" hidden="1" x14ac:dyDescent="0.25">
      <c r="A27" s="23"/>
      <c r="B27" s="23"/>
      <c r="C27" s="23"/>
      <c r="D27" s="23"/>
      <c r="E27" s="23"/>
      <c r="F27" s="23"/>
      <c r="G27" s="23"/>
      <c r="H27" s="23"/>
      <c r="I27" s="23"/>
      <c r="J27" s="23"/>
      <c r="K27" s="23"/>
      <c r="L27" s="23"/>
      <c r="M27" s="23"/>
      <c r="N27" s="23"/>
      <c r="P27" s="23"/>
      <c r="Q27" s="23"/>
      <c r="R27" s="23"/>
      <c r="S27" s="35"/>
    </row>
    <row r="28" spans="1:23" hidden="1" x14ac:dyDescent="0.25">
      <c r="A28" s="23"/>
      <c r="B28" s="23" t="s">
        <v>114</v>
      </c>
      <c r="C28" s="23"/>
      <c r="D28" s="23"/>
      <c r="E28" s="23"/>
      <c r="F28" s="23"/>
      <c r="G28" s="23"/>
      <c r="H28" s="23"/>
      <c r="I28" s="23"/>
      <c r="J28" s="23"/>
      <c r="K28" s="23"/>
      <c r="L28" s="23"/>
      <c r="M28" s="23"/>
      <c r="N28" s="23"/>
      <c r="O28" s="21">
        <f>O23*O17*7*O19*(O21/100)*O20/1000000</f>
        <v>0.22369315068493148</v>
      </c>
      <c r="P28" s="23"/>
      <c r="Q28" s="23"/>
      <c r="R28" s="23"/>
      <c r="S28" s="35"/>
    </row>
    <row r="29" spans="1:23" hidden="1" x14ac:dyDescent="0.25">
      <c r="A29" s="23"/>
      <c r="B29" s="23"/>
      <c r="C29" s="23"/>
      <c r="D29" s="23"/>
      <c r="E29" s="23"/>
      <c r="F29" s="23"/>
      <c r="G29" s="23"/>
      <c r="H29" s="23"/>
      <c r="I29" s="23"/>
      <c r="J29" s="23"/>
      <c r="K29" s="23"/>
      <c r="L29" s="23"/>
      <c r="M29" s="23"/>
      <c r="N29" s="23"/>
      <c r="P29" s="23"/>
      <c r="Q29" s="23"/>
      <c r="R29" s="23"/>
      <c r="S29" s="35"/>
    </row>
    <row r="30" spans="1:23" hidden="1" x14ac:dyDescent="0.25">
      <c r="A30" s="23"/>
      <c r="B30" s="23" t="s">
        <v>115</v>
      </c>
      <c r="C30" s="23"/>
      <c r="D30" s="23"/>
      <c r="E30" s="23"/>
      <c r="F30" s="23"/>
      <c r="G30" s="23"/>
      <c r="H30" s="23"/>
      <c r="I30" s="23"/>
      <c r="J30" s="23"/>
      <c r="K30" s="23"/>
      <c r="L30" s="23"/>
      <c r="M30" s="23"/>
      <c r="N30" s="23"/>
      <c r="O30" s="21">
        <f>O26*O17*7*O19*(O21/100)*O20/1000000</f>
        <v>0.47362191780821911</v>
      </c>
      <c r="P30" s="23" t="s">
        <v>137</v>
      </c>
      <c r="Q30" s="23"/>
      <c r="R30" s="23"/>
      <c r="S30" s="35" t="str">
        <f>IF(O30&gt;0.49999,"RECOMMEND RETROFIT PINNING","")</f>
        <v/>
      </c>
    </row>
    <row r="31" spans="1:23" hidden="1" x14ac:dyDescent="0.25">
      <c r="A31" s="23"/>
      <c r="B31" s="23"/>
      <c r="C31" s="23"/>
      <c r="D31" s="23"/>
      <c r="E31" s="23"/>
      <c r="F31" s="23"/>
      <c r="G31" s="23"/>
      <c r="H31" s="23"/>
      <c r="I31" s="23"/>
      <c r="J31" s="23"/>
      <c r="K31" s="23"/>
      <c r="L31" s="23"/>
      <c r="M31" s="23"/>
      <c r="N31" s="23"/>
      <c r="P31" s="23"/>
      <c r="Q31" s="23"/>
      <c r="R31" s="23"/>
      <c r="S31" s="35"/>
    </row>
    <row r="32" spans="1:23" ht="15" hidden="1" customHeight="1" x14ac:dyDescent="0.25">
      <c r="A32" s="23"/>
      <c r="B32" s="23" t="s">
        <v>116</v>
      </c>
      <c r="C32" s="23"/>
      <c r="D32" s="23"/>
      <c r="E32" s="23"/>
      <c r="F32" s="23"/>
      <c r="G32" s="23"/>
      <c r="H32" s="23"/>
      <c r="I32" s="23"/>
      <c r="J32" s="23"/>
      <c r="K32" s="23"/>
      <c r="L32" s="23"/>
      <c r="M32" s="23"/>
      <c r="N32" s="23"/>
      <c r="O32" s="21">
        <f>O23*O18*7*O19*(O21/100)*O20/1000000</f>
        <v>0.22369315068493148</v>
      </c>
      <c r="P32" s="23"/>
      <c r="Q32" s="23"/>
      <c r="R32" s="23"/>
      <c r="S32" s="35"/>
    </row>
    <row r="33" spans="1:19" x14ac:dyDescent="0.25">
      <c r="A33" s="23"/>
      <c r="B33" s="23"/>
      <c r="C33" s="23"/>
      <c r="D33" s="23"/>
      <c r="E33" s="23"/>
      <c r="F33" s="23"/>
      <c r="G33" s="23"/>
      <c r="H33" s="23"/>
      <c r="I33" s="23"/>
      <c r="J33" s="23"/>
      <c r="K33" s="23"/>
      <c r="L33" s="23"/>
      <c r="M33" s="23"/>
      <c r="N33" s="23"/>
      <c r="P33" s="23"/>
      <c r="Q33" s="23"/>
      <c r="R33" s="23"/>
      <c r="S33" s="35"/>
    </row>
    <row r="34" spans="1:19" ht="30.75" customHeight="1" x14ac:dyDescent="0.25">
      <c r="A34" s="23"/>
      <c r="B34" s="23" t="s">
        <v>112</v>
      </c>
      <c r="C34" s="23"/>
      <c r="D34" s="23"/>
      <c r="E34" s="23"/>
      <c r="F34" s="23"/>
      <c r="G34" s="23"/>
      <c r="H34" s="23"/>
      <c r="I34" s="23"/>
      <c r="J34" s="23"/>
      <c r="K34" s="23"/>
      <c r="L34" s="23"/>
      <c r="M34" s="23"/>
      <c r="N34" s="23"/>
      <c r="O34" s="57">
        <f>O26*O18*7*O19*(O21/100)*O20/1000000</f>
        <v>0.47362191780821911</v>
      </c>
      <c r="P34" s="35" t="s">
        <v>138</v>
      </c>
      <c r="Q34" s="35"/>
      <c r="R34" s="23"/>
      <c r="S34" s="35" t="str">
        <f>IF(O34&gt;0.49999,"RECOMMEND PINNING","")</f>
        <v/>
      </c>
    </row>
    <row r="35" spans="1:19" x14ac:dyDescent="0.25">
      <c r="A35" s="23"/>
      <c r="B35" s="23"/>
      <c r="C35" s="23"/>
      <c r="D35" s="23"/>
      <c r="E35" s="23"/>
      <c r="F35" s="23"/>
      <c r="G35" s="23"/>
      <c r="H35" s="23"/>
      <c r="I35" s="23"/>
      <c r="J35" s="23"/>
      <c r="K35" s="23"/>
      <c r="L35" s="23"/>
      <c r="M35" s="23"/>
      <c r="N35" s="23"/>
      <c r="O35" s="23"/>
      <c r="P35" s="23"/>
      <c r="Q35" s="23"/>
      <c r="R35" s="23"/>
      <c r="S35" s="35"/>
    </row>
    <row r="36" spans="1:19" x14ac:dyDescent="0.25">
      <c r="A36" s="23"/>
      <c r="B36" s="23" t="s">
        <v>97</v>
      </c>
      <c r="C36" s="23"/>
      <c r="D36" s="23"/>
      <c r="E36" s="23"/>
      <c r="F36" s="23"/>
      <c r="G36" s="23"/>
      <c r="H36" s="23"/>
      <c r="I36" s="23"/>
      <c r="J36" s="23"/>
      <c r="K36" s="23"/>
      <c r="L36" s="23"/>
      <c r="M36" s="23"/>
      <c r="N36" s="23"/>
      <c r="O36" s="58">
        <f>SUM(O11,O13)</f>
        <v>1</v>
      </c>
      <c r="P36" s="23"/>
      <c r="Q36" s="23"/>
      <c r="R36" s="23"/>
      <c r="S36" s="35" t="str">
        <f>IF(S4="Phase III",IF(O17&gt;0,IF((O36*O18/O17)&gt;O32,"THRESHOLD GREATER THAN 'PREDICTED IF PINNED'",""),""),"")</f>
        <v>THRESHOLD GREATER THAN 'PREDICTED IF PINNED'</v>
      </c>
    </row>
    <row r="37" spans="1:19" x14ac:dyDescent="0.25">
      <c r="A37" s="23"/>
      <c r="B37" s="23"/>
      <c r="C37" s="23"/>
      <c r="D37" s="23"/>
      <c r="E37" s="23"/>
      <c r="F37" s="23"/>
      <c r="G37" s="23"/>
      <c r="H37" s="23"/>
      <c r="I37" s="23"/>
      <c r="J37" s="23"/>
      <c r="K37" s="23"/>
      <c r="L37" s="23"/>
      <c r="M37" s="23"/>
      <c r="N37" s="23"/>
      <c r="O37" s="23"/>
      <c r="P37" s="23"/>
      <c r="Q37" s="23"/>
      <c r="R37" s="23"/>
      <c r="S37" s="35"/>
    </row>
    <row r="38" spans="1:19" ht="18.75" x14ac:dyDescent="0.3">
      <c r="A38" s="23"/>
      <c r="B38" s="29" t="s">
        <v>113</v>
      </c>
      <c r="C38" s="23"/>
      <c r="D38" s="23"/>
      <c r="E38" s="23"/>
      <c r="F38" s="23"/>
      <c r="G38" s="23"/>
      <c r="H38" s="23"/>
      <c r="I38" s="23"/>
      <c r="J38" s="23"/>
      <c r="K38" s="23"/>
      <c r="L38" s="23"/>
      <c r="M38" s="23"/>
      <c r="N38" s="23"/>
      <c r="O38" s="23"/>
      <c r="P38" s="23"/>
      <c r="Q38" s="23"/>
      <c r="R38" s="23"/>
      <c r="S38" s="35"/>
    </row>
    <row r="39" spans="1:19" x14ac:dyDescent="0.25">
      <c r="A39" s="23"/>
      <c r="B39" s="23"/>
      <c r="C39" s="23"/>
      <c r="D39" s="23"/>
      <c r="E39" s="23"/>
      <c r="F39" s="23"/>
      <c r="G39" s="23"/>
      <c r="H39" s="23"/>
      <c r="I39" s="23"/>
      <c r="J39" s="23"/>
      <c r="K39" s="23"/>
      <c r="L39" s="23"/>
      <c r="M39" s="23"/>
      <c r="N39" s="23"/>
      <c r="O39" s="23"/>
      <c r="P39" s="23"/>
      <c r="Q39" s="23"/>
      <c r="R39" s="23"/>
      <c r="S39" s="35"/>
    </row>
    <row r="40" spans="1:19" ht="30" x14ac:dyDescent="0.25">
      <c r="A40" s="23"/>
      <c r="B40" s="23" t="s">
        <v>102</v>
      </c>
      <c r="C40" s="23"/>
      <c r="D40" s="23"/>
      <c r="E40" s="23"/>
      <c r="F40" s="23"/>
      <c r="G40" s="23"/>
      <c r="H40" s="23"/>
      <c r="I40" s="23"/>
      <c r="J40" s="23"/>
      <c r="K40" s="23"/>
      <c r="L40" s="23"/>
      <c r="M40" s="23"/>
      <c r="N40" s="23"/>
      <c r="O40" s="20">
        <v>35</v>
      </c>
      <c r="P40" s="23" t="s">
        <v>108</v>
      </c>
      <c r="Q40" s="23"/>
      <c r="R40" s="23"/>
      <c r="S40" s="35" t="str">
        <f>IF(O40&gt;15,"LARGE TRUCK VOLUME SUPPORTS RETROFIT PINNING","")</f>
        <v>LARGE TRUCK VOLUME SUPPORTS RETROFIT PINNING</v>
      </c>
    </row>
    <row r="41" spans="1:19" x14ac:dyDescent="0.25">
      <c r="A41" s="23"/>
      <c r="B41" s="23" t="s">
        <v>103</v>
      </c>
      <c r="C41" s="23"/>
      <c r="D41" s="23"/>
      <c r="E41" s="23"/>
      <c r="F41" s="23"/>
      <c r="G41" s="23"/>
      <c r="H41" s="23"/>
      <c r="I41" s="23"/>
      <c r="J41" s="23"/>
      <c r="K41" s="23"/>
      <c r="L41" s="23"/>
      <c r="M41" s="23"/>
      <c r="N41" s="23"/>
      <c r="O41" s="20">
        <v>5</v>
      </c>
      <c r="P41" s="23" t="s">
        <v>108</v>
      </c>
      <c r="Q41" s="23"/>
      <c r="R41" s="23"/>
      <c r="S41" s="35" t="str">
        <f>IF(O41&gt;10,"SINGLE UNIT VOLUME SUPPORTS RETROFIT PINNING","")</f>
        <v/>
      </c>
    </row>
    <row r="42" spans="1:19" x14ac:dyDescent="0.25">
      <c r="A42" s="23"/>
      <c r="B42" s="23" t="s">
        <v>104</v>
      </c>
      <c r="C42" s="23"/>
      <c r="D42" s="23"/>
      <c r="E42" s="23"/>
      <c r="F42" s="23"/>
      <c r="G42" s="23"/>
      <c r="H42" s="23"/>
      <c r="I42" s="23"/>
      <c r="J42" s="23"/>
      <c r="K42" s="23"/>
      <c r="L42" s="23"/>
      <c r="M42" s="23"/>
      <c r="N42" s="23"/>
      <c r="O42" s="22" t="s">
        <v>142</v>
      </c>
      <c r="P42" s="23"/>
      <c r="Q42" s="23"/>
      <c r="R42" s="23"/>
      <c r="S42" s="35" t="str">
        <f>IF(O42="More than 2 degrees.","ALIGNMENT SUPPORTS RETROFIT PINNING IN THESE CURVES","")</f>
        <v/>
      </c>
    </row>
    <row r="43" spans="1:19" x14ac:dyDescent="0.25">
      <c r="A43" s="23"/>
      <c r="B43" s="23" t="s">
        <v>106</v>
      </c>
      <c r="C43" s="23"/>
      <c r="D43" s="23"/>
      <c r="E43" s="23"/>
      <c r="F43" s="23"/>
      <c r="G43" s="23"/>
      <c r="H43" s="23"/>
      <c r="I43" s="23"/>
      <c r="J43" s="23"/>
      <c r="K43" s="23"/>
      <c r="L43" s="23"/>
      <c r="M43" s="23"/>
      <c r="N43" s="23"/>
      <c r="O43" s="22" t="s">
        <v>61</v>
      </c>
      <c r="P43" s="23"/>
      <c r="Q43" s="23"/>
      <c r="R43" s="23" t="s">
        <v>105</v>
      </c>
      <c r="S43" s="35" t="str">
        <f>IF(O43="Rolling or Rugged","TERRAIN SUPPORTS RETROFIT PINNING","")</f>
        <v/>
      </c>
    </row>
    <row r="44" spans="1:19" x14ac:dyDescent="0.25">
      <c r="A44" s="23"/>
      <c r="B44" s="23" t="s">
        <v>110</v>
      </c>
      <c r="C44" s="23"/>
      <c r="D44" s="23"/>
      <c r="E44" s="23"/>
      <c r="F44" s="23"/>
      <c r="G44" s="23"/>
      <c r="H44" s="23"/>
      <c r="I44" s="23"/>
      <c r="J44" s="23"/>
      <c r="K44" s="23"/>
      <c r="L44" s="23"/>
      <c r="M44" s="23"/>
      <c r="N44" s="23"/>
      <c r="O44" s="22" t="s">
        <v>90</v>
      </c>
      <c r="P44" s="23"/>
      <c r="Q44" s="23"/>
      <c r="R44" s="23"/>
      <c r="S44" s="35" t="str">
        <f>IF(O44="Yes","ENTRANCE RAMP PRESENCE SUPPORTS RETROFIT PINNING","")</f>
        <v/>
      </c>
    </row>
    <row r="45" spans="1:19" x14ac:dyDescent="0.25">
      <c r="A45" s="23"/>
      <c r="B45" s="23" t="s">
        <v>109</v>
      </c>
      <c r="C45" s="23"/>
      <c r="D45" s="23"/>
      <c r="E45" s="23"/>
      <c r="F45" s="23"/>
      <c r="G45" s="23"/>
      <c r="H45" s="23"/>
      <c r="I45" s="23"/>
      <c r="J45" s="23"/>
      <c r="K45" s="23"/>
      <c r="L45" s="23"/>
      <c r="M45" s="23"/>
      <c r="N45" s="23"/>
      <c r="O45" s="22" t="s">
        <v>90</v>
      </c>
      <c r="P45" s="23"/>
      <c r="Q45" s="23"/>
      <c r="R45" s="23" t="s">
        <v>107</v>
      </c>
      <c r="S45" s="35" t="str">
        <f>IF(O45="Yes","EXIT RAMP PRESENCE SUPPORTS RETROFIT PINNING","")</f>
        <v/>
      </c>
    </row>
    <row r="46" spans="1:19" x14ac:dyDescent="0.25">
      <c r="A46" s="23"/>
      <c r="B46" s="23"/>
      <c r="C46" s="23"/>
      <c r="D46" s="23"/>
      <c r="E46" s="23"/>
      <c r="F46" s="23"/>
      <c r="G46" s="23"/>
      <c r="H46" s="23"/>
      <c r="I46" s="23"/>
      <c r="J46" s="23"/>
      <c r="K46" s="23"/>
      <c r="L46" s="23"/>
      <c r="M46" s="23"/>
      <c r="N46" s="23"/>
      <c r="O46" s="23"/>
      <c r="P46" s="23"/>
      <c r="Q46" s="23"/>
      <c r="R46" s="23"/>
      <c r="S46" s="35"/>
    </row>
    <row r="47" spans="1:19" x14ac:dyDescent="0.25">
      <c r="A47" s="23"/>
      <c r="B47" s="23"/>
      <c r="C47" s="23"/>
      <c r="D47" s="74" t="str">
        <f>IF(O21+O40+O41&lt;&gt;100,"NOTE -- PV + MU + SU must add to 100%.  Please correct.","")</f>
        <v/>
      </c>
      <c r="E47" s="75"/>
      <c r="F47" s="75"/>
      <c r="G47" s="75"/>
      <c r="H47" s="75"/>
      <c r="I47" s="75"/>
      <c r="J47" s="23"/>
      <c r="K47" s="23"/>
      <c r="L47" s="23"/>
      <c r="M47" s="23"/>
      <c r="N47" s="23"/>
      <c r="O47" s="23" t="s">
        <v>152</v>
      </c>
      <c r="P47" s="23" t="s">
        <v>153</v>
      </c>
      <c r="Q47" s="23"/>
      <c r="R47" s="23"/>
      <c r="S47" s="35"/>
    </row>
    <row r="48" spans="1:19" ht="18.75" x14ac:dyDescent="0.3">
      <c r="A48" s="23"/>
      <c r="B48" s="29"/>
      <c r="C48" s="23"/>
      <c r="D48" s="23"/>
      <c r="E48" s="23"/>
      <c r="F48" s="23"/>
      <c r="G48" s="23"/>
      <c r="H48" s="23"/>
      <c r="I48" s="23"/>
      <c r="J48" s="23"/>
      <c r="K48" s="23"/>
      <c r="L48" s="23"/>
      <c r="M48" s="23"/>
      <c r="N48" s="23"/>
      <c r="O48" s="23"/>
      <c r="P48" s="23" t="s">
        <v>154</v>
      </c>
      <c r="Q48" s="23"/>
      <c r="R48" s="23"/>
      <c r="S48" s="35"/>
    </row>
    <row r="49" spans="1:19" x14ac:dyDescent="0.25">
      <c r="A49" s="23"/>
      <c r="B49" s="23" t="s">
        <v>163</v>
      </c>
      <c r="C49" s="63">
        <v>41711</v>
      </c>
      <c r="D49" s="23"/>
      <c r="E49" s="23"/>
      <c r="F49" s="23"/>
      <c r="G49" s="23"/>
      <c r="H49" s="23"/>
      <c r="I49" s="23"/>
      <c r="J49" s="23"/>
      <c r="K49" s="23"/>
      <c r="L49" s="23"/>
      <c r="M49" s="23"/>
      <c r="N49" s="23"/>
      <c r="O49" s="23"/>
      <c r="P49" s="23" t="s">
        <v>155</v>
      </c>
      <c r="Q49" s="23"/>
      <c r="R49" s="23"/>
      <c r="S49" s="35"/>
    </row>
    <row r="50" spans="1:19" x14ac:dyDescent="0.25">
      <c r="A50" s="23"/>
      <c r="B50" s="23" t="s">
        <v>195</v>
      </c>
      <c r="C50" s="64">
        <v>41761</v>
      </c>
      <c r="D50" s="23" t="s">
        <v>196</v>
      </c>
      <c r="E50" s="23"/>
      <c r="F50" s="23"/>
      <c r="G50" s="23"/>
      <c r="H50" s="23"/>
      <c r="I50" s="23"/>
      <c r="J50" s="23"/>
      <c r="K50" s="23"/>
      <c r="L50" s="23"/>
      <c r="M50" s="23"/>
      <c r="N50" s="23"/>
      <c r="O50" s="23"/>
      <c r="P50" s="23" t="s">
        <v>156</v>
      </c>
      <c r="Q50" s="23"/>
      <c r="R50" s="23"/>
      <c r="S50" s="35"/>
    </row>
    <row r="51" spans="1:19" x14ac:dyDescent="0.25">
      <c r="A51" s="23"/>
      <c r="B51" s="23"/>
      <c r="C51" s="65"/>
      <c r="D51" s="23" t="s">
        <v>197</v>
      </c>
      <c r="E51" s="23"/>
      <c r="F51" s="23"/>
      <c r="G51" s="23"/>
      <c r="H51" s="23"/>
      <c r="I51" s="23"/>
      <c r="J51" s="23"/>
      <c r="K51" s="23"/>
      <c r="L51" s="23"/>
      <c r="M51" s="23"/>
      <c r="N51" s="23"/>
      <c r="O51" s="23"/>
      <c r="P51" s="23"/>
      <c r="Q51" s="23"/>
      <c r="R51" s="23"/>
      <c r="S51" s="35"/>
    </row>
    <row r="52" spans="1:19" x14ac:dyDescent="0.25">
      <c r="A52" s="23"/>
      <c r="B52" s="23"/>
      <c r="C52" s="63">
        <v>41815</v>
      </c>
      <c r="D52" s="23" t="s">
        <v>201</v>
      </c>
      <c r="E52" s="23"/>
      <c r="F52" s="23"/>
      <c r="G52" s="23"/>
      <c r="H52" s="23"/>
      <c r="I52" s="23"/>
      <c r="J52" s="23"/>
      <c r="K52" s="23"/>
      <c r="L52" s="23"/>
      <c r="M52" s="23"/>
      <c r="N52" s="23"/>
      <c r="O52" s="23" t="s">
        <v>158</v>
      </c>
      <c r="P52" s="23" t="s">
        <v>162</v>
      </c>
      <c r="Q52" s="23"/>
      <c r="R52" s="23"/>
      <c r="S52" s="35"/>
    </row>
    <row r="53" spans="1:19" x14ac:dyDescent="0.25">
      <c r="A53" s="23"/>
      <c r="B53" s="23"/>
      <c r="C53" s="63">
        <v>41858</v>
      </c>
      <c r="D53" s="23" t="s">
        <v>206</v>
      </c>
      <c r="E53" s="23"/>
      <c r="F53" s="23"/>
      <c r="G53" s="23"/>
      <c r="H53" s="23"/>
      <c r="I53" s="23"/>
      <c r="J53" s="23"/>
      <c r="K53" s="23"/>
      <c r="L53" s="23"/>
      <c r="M53" s="23"/>
      <c r="N53" s="23"/>
      <c r="O53" s="23"/>
      <c r="P53" s="23" t="s">
        <v>159</v>
      </c>
      <c r="Q53" s="23"/>
      <c r="R53" s="23"/>
      <c r="S53" s="35"/>
    </row>
    <row r="54" spans="1:19" ht="30" x14ac:dyDescent="0.25">
      <c r="A54" s="23"/>
      <c r="C54" s="66" t="s">
        <v>219</v>
      </c>
      <c r="D54" s="19" t="s">
        <v>220</v>
      </c>
      <c r="L54" s="23"/>
      <c r="M54" s="23"/>
      <c r="N54" s="23"/>
      <c r="O54" s="23"/>
      <c r="P54" s="23" t="s">
        <v>160</v>
      </c>
      <c r="Q54" s="23"/>
      <c r="R54" s="23"/>
      <c r="S54" s="35"/>
    </row>
    <row r="55" spans="1:19" x14ac:dyDescent="0.25">
      <c r="A55" s="23"/>
      <c r="C55" s="64">
        <v>42037</v>
      </c>
      <c r="D55" s="19" t="s">
        <v>221</v>
      </c>
      <c r="L55" s="23"/>
      <c r="M55" s="23"/>
      <c r="N55" s="23"/>
      <c r="O55" s="23"/>
      <c r="P55" s="23" t="s">
        <v>161</v>
      </c>
      <c r="Q55" s="23"/>
      <c r="R55" s="23"/>
      <c r="S55" s="35"/>
    </row>
    <row r="56" spans="1:19" x14ac:dyDescent="0.25">
      <c r="A56" s="23"/>
      <c r="L56" s="23"/>
      <c r="M56" s="23"/>
      <c r="N56" s="23"/>
      <c r="O56" s="23"/>
      <c r="P56" s="23"/>
      <c r="Q56" s="23"/>
      <c r="R56" s="23"/>
      <c r="S56" s="35"/>
    </row>
    <row r="57" spans="1:19" x14ac:dyDescent="0.25">
      <c r="A57" s="23"/>
      <c r="B57" s="23"/>
      <c r="C57" s="23"/>
      <c r="D57" s="23"/>
      <c r="E57" s="23"/>
      <c r="F57" s="23"/>
      <c r="G57" s="23"/>
      <c r="H57" s="23"/>
      <c r="I57" s="23"/>
      <c r="J57" s="23"/>
      <c r="K57" s="23"/>
      <c r="L57" s="23"/>
      <c r="M57" s="23"/>
      <c r="N57" s="23"/>
      <c r="O57" s="23"/>
      <c r="P57" s="23"/>
      <c r="Q57" s="23"/>
      <c r="R57" s="23"/>
      <c r="S57" s="35"/>
    </row>
    <row r="58" spans="1:19" x14ac:dyDescent="0.25">
      <c r="A58" s="23"/>
      <c r="B58" s="23"/>
      <c r="C58" s="23"/>
      <c r="D58" s="23"/>
      <c r="E58" s="23"/>
      <c r="F58" s="23"/>
      <c r="G58" s="23"/>
      <c r="H58" s="23"/>
      <c r="I58" s="23"/>
      <c r="J58" s="23"/>
      <c r="K58" s="23"/>
      <c r="L58" s="23"/>
      <c r="M58" s="23"/>
      <c r="N58" s="23"/>
      <c r="O58" s="23"/>
      <c r="P58" s="23"/>
      <c r="Q58" s="23"/>
      <c r="R58" s="23"/>
      <c r="S58" s="35"/>
    </row>
    <row r="59" spans="1:19" x14ac:dyDescent="0.25">
      <c r="A59" s="23"/>
      <c r="B59" s="23"/>
      <c r="C59" s="23"/>
      <c r="D59" s="23"/>
      <c r="E59" s="23"/>
      <c r="F59" s="23"/>
      <c r="G59" s="23"/>
      <c r="H59" s="23"/>
      <c r="I59" s="23"/>
      <c r="J59" s="23"/>
      <c r="K59" s="23"/>
      <c r="L59" s="23"/>
      <c r="M59" s="23"/>
      <c r="N59" s="23"/>
      <c r="O59" s="23"/>
      <c r="P59" s="23"/>
      <c r="Q59" s="23"/>
      <c r="S59" s="35"/>
    </row>
    <row r="60" spans="1:19" x14ac:dyDescent="0.25">
      <c r="A60" s="23"/>
      <c r="B60" s="23"/>
      <c r="C60" s="23"/>
      <c r="D60" s="23"/>
      <c r="E60" s="23"/>
      <c r="F60" s="23"/>
      <c r="G60" s="23"/>
      <c r="H60" s="23"/>
      <c r="I60" s="23"/>
      <c r="J60" s="23"/>
      <c r="K60" s="23"/>
      <c r="L60" s="23"/>
      <c r="M60" s="23"/>
      <c r="N60" s="23"/>
      <c r="O60" s="23"/>
      <c r="P60" s="23"/>
      <c r="Q60" s="23"/>
      <c r="S60" s="35"/>
    </row>
    <row r="61" spans="1:19" x14ac:dyDescent="0.25">
      <c r="A61" s="23"/>
      <c r="B61" s="23"/>
      <c r="C61" s="23"/>
      <c r="D61" s="23"/>
      <c r="E61" s="23"/>
      <c r="F61" s="23"/>
      <c r="G61" s="23"/>
      <c r="H61" s="23"/>
      <c r="I61" s="23"/>
      <c r="J61" s="23"/>
      <c r="K61" s="23"/>
      <c r="L61" s="23"/>
      <c r="M61" s="23"/>
      <c r="N61" s="23"/>
      <c r="O61" s="23"/>
      <c r="P61" s="23"/>
      <c r="Q61" s="23"/>
      <c r="S61" s="35"/>
    </row>
    <row r="62" spans="1:19" x14ac:dyDescent="0.25">
      <c r="A62" s="23"/>
      <c r="B62" s="23"/>
      <c r="C62" s="23"/>
      <c r="D62" s="23"/>
      <c r="E62" s="23"/>
      <c r="F62" s="23"/>
      <c r="G62" s="23"/>
      <c r="H62" s="23"/>
      <c r="I62" s="23"/>
      <c r="J62" s="23"/>
      <c r="K62" s="23"/>
      <c r="L62" s="23"/>
      <c r="M62" s="23"/>
      <c r="N62" s="23"/>
      <c r="O62" s="23"/>
      <c r="P62" s="23"/>
      <c r="Q62" s="23"/>
      <c r="S62" s="35"/>
    </row>
    <row r="63" spans="1:19" x14ac:dyDescent="0.25">
      <c r="A63" s="23"/>
      <c r="B63" s="23"/>
      <c r="C63" s="23"/>
      <c r="D63" s="23"/>
      <c r="E63" s="23"/>
      <c r="F63" s="23"/>
      <c r="G63" s="23"/>
      <c r="H63" s="23"/>
      <c r="I63" s="23"/>
      <c r="J63" s="23"/>
      <c r="K63" s="23"/>
      <c r="L63" s="23"/>
      <c r="M63" s="23"/>
      <c r="N63" s="23"/>
      <c r="O63" s="23"/>
      <c r="P63" s="23"/>
      <c r="Q63" s="23"/>
      <c r="S63" s="35"/>
    </row>
    <row r="64" spans="1:19" x14ac:dyDescent="0.25">
      <c r="A64" s="23"/>
      <c r="B64" s="23"/>
      <c r="C64" s="23"/>
      <c r="D64" s="23"/>
      <c r="E64" s="23"/>
      <c r="F64" s="23"/>
      <c r="G64" s="23"/>
      <c r="H64" s="23"/>
      <c r="I64" s="23"/>
      <c r="J64" s="23"/>
      <c r="K64" s="23"/>
      <c r="L64" s="23"/>
      <c r="M64" s="23"/>
      <c r="N64" s="23"/>
      <c r="O64" s="23"/>
      <c r="P64" s="23"/>
      <c r="Q64" s="23"/>
      <c r="S64" s="35"/>
    </row>
    <row r="65" spans="1:19" x14ac:dyDescent="0.25">
      <c r="A65" s="23"/>
      <c r="B65" s="23"/>
      <c r="C65" s="23"/>
      <c r="D65" s="23"/>
      <c r="E65" s="23"/>
      <c r="F65" s="23"/>
      <c r="G65" s="23"/>
      <c r="H65" s="23"/>
      <c r="I65" s="23"/>
      <c r="J65" s="23"/>
      <c r="K65" s="23"/>
      <c r="L65" s="23"/>
      <c r="M65" s="23"/>
      <c r="N65" s="23"/>
      <c r="O65" s="23"/>
      <c r="P65" s="23"/>
      <c r="Q65" s="23"/>
      <c r="S65" s="35"/>
    </row>
    <row r="66" spans="1:19" x14ac:dyDescent="0.25">
      <c r="A66" s="23"/>
      <c r="B66" s="23"/>
      <c r="C66" s="23"/>
      <c r="D66" s="23"/>
      <c r="E66" s="23"/>
      <c r="F66" s="23"/>
      <c r="G66" s="23"/>
      <c r="H66" s="23"/>
      <c r="I66" s="23"/>
      <c r="J66" s="23"/>
      <c r="K66" s="23"/>
      <c r="L66" s="23"/>
      <c r="M66" s="23"/>
      <c r="N66" s="23"/>
      <c r="O66" s="23"/>
      <c r="P66" s="23"/>
      <c r="Q66" s="23"/>
      <c r="S66" s="35"/>
    </row>
    <row r="67" spans="1:19" x14ac:dyDescent="0.25">
      <c r="A67" s="23"/>
      <c r="B67" s="23"/>
      <c r="C67" s="23"/>
      <c r="D67" s="23"/>
      <c r="E67" s="23"/>
      <c r="F67" s="23"/>
      <c r="G67" s="23"/>
      <c r="H67" s="23"/>
      <c r="I67" s="23"/>
      <c r="J67" s="23"/>
      <c r="K67" s="23"/>
      <c r="L67" s="23"/>
      <c r="M67" s="23"/>
      <c r="N67" s="23"/>
      <c r="O67" s="23"/>
      <c r="P67" s="23"/>
      <c r="Q67" s="23"/>
      <c r="S67" s="35"/>
    </row>
    <row r="68" spans="1:19" x14ac:dyDescent="0.25">
      <c r="A68" s="23"/>
      <c r="B68" s="23"/>
      <c r="C68" s="23"/>
      <c r="D68" s="23"/>
      <c r="E68" s="23"/>
      <c r="F68" s="23"/>
      <c r="G68" s="23"/>
      <c r="H68" s="23"/>
      <c r="I68" s="23"/>
      <c r="J68" s="23"/>
      <c r="K68" s="23"/>
      <c r="L68" s="23"/>
      <c r="M68" s="23"/>
      <c r="N68" s="23"/>
      <c r="O68" s="23"/>
      <c r="P68" s="23"/>
      <c r="Q68" s="23"/>
      <c r="S68" s="35"/>
    </row>
    <row r="69" spans="1:19" x14ac:dyDescent="0.25">
      <c r="A69" s="23"/>
      <c r="B69" s="23"/>
      <c r="C69" s="23"/>
      <c r="D69" s="23"/>
      <c r="E69" s="23"/>
      <c r="F69" s="23"/>
      <c r="G69" s="23"/>
      <c r="H69" s="23"/>
      <c r="I69" s="23"/>
      <c r="J69" s="23"/>
      <c r="K69" s="23"/>
      <c r="L69" s="23"/>
      <c r="M69" s="23"/>
      <c r="N69" s="23"/>
      <c r="O69" s="23"/>
      <c r="P69" s="23"/>
      <c r="Q69" s="23"/>
      <c r="S69" s="35"/>
    </row>
    <row r="70" spans="1:19" x14ac:dyDescent="0.25">
      <c r="A70" s="23"/>
      <c r="B70" s="23"/>
      <c r="C70" s="23"/>
      <c r="D70" s="23"/>
      <c r="E70" s="23"/>
      <c r="F70" s="23"/>
      <c r="G70" s="23"/>
      <c r="H70" s="23"/>
      <c r="I70" s="23"/>
      <c r="J70" s="23"/>
      <c r="K70" s="23"/>
      <c r="L70" s="23"/>
      <c r="M70" s="23"/>
      <c r="N70" s="23"/>
      <c r="O70" s="23"/>
      <c r="P70" s="23"/>
      <c r="Q70" s="23"/>
      <c r="S70" s="35"/>
    </row>
    <row r="71" spans="1:19" x14ac:dyDescent="0.25">
      <c r="A71" s="23"/>
      <c r="B71" s="23"/>
      <c r="C71" s="23"/>
      <c r="D71" s="23"/>
      <c r="E71" s="23"/>
      <c r="F71" s="23"/>
      <c r="G71" s="23"/>
      <c r="H71" s="23"/>
      <c r="I71" s="23"/>
      <c r="J71" s="23"/>
      <c r="K71" s="23"/>
      <c r="L71" s="23"/>
      <c r="M71" s="23"/>
      <c r="N71" s="23"/>
      <c r="O71" s="23"/>
      <c r="P71" s="23"/>
      <c r="Q71" s="23"/>
      <c r="S71" s="35"/>
    </row>
    <row r="72" spans="1:19" x14ac:dyDescent="0.25">
      <c r="A72" s="23"/>
      <c r="B72" s="23"/>
      <c r="C72" s="23"/>
      <c r="D72" s="23"/>
      <c r="E72" s="23"/>
      <c r="F72" s="23"/>
      <c r="G72" s="23"/>
      <c r="H72" s="23"/>
      <c r="I72" s="23"/>
      <c r="J72" s="23"/>
      <c r="K72" s="23"/>
      <c r="L72" s="23"/>
      <c r="M72" s="23"/>
      <c r="N72" s="23"/>
      <c r="O72" s="23"/>
      <c r="P72" s="23"/>
      <c r="Q72" s="23"/>
      <c r="S72" s="35"/>
    </row>
    <row r="73" spans="1:19" x14ac:dyDescent="0.25">
      <c r="A73" s="23"/>
      <c r="B73" s="23"/>
      <c r="C73" s="23"/>
      <c r="D73" s="23"/>
      <c r="E73" s="23"/>
      <c r="F73" s="23"/>
      <c r="G73" s="23"/>
      <c r="H73" s="23"/>
      <c r="I73" s="23"/>
      <c r="J73" s="23"/>
      <c r="K73" s="23"/>
      <c r="L73" s="23"/>
      <c r="M73" s="23"/>
      <c r="N73" s="23"/>
      <c r="O73" s="23"/>
      <c r="P73" s="23"/>
      <c r="Q73" s="23"/>
      <c r="S73" s="35"/>
    </row>
    <row r="74" spans="1:19" x14ac:dyDescent="0.25">
      <c r="A74" s="23"/>
      <c r="B74" s="23"/>
      <c r="C74" s="23"/>
      <c r="D74" s="23"/>
      <c r="E74" s="23"/>
      <c r="F74" s="23"/>
      <c r="G74" s="23"/>
      <c r="H74" s="23"/>
      <c r="I74" s="23"/>
      <c r="J74" s="23"/>
      <c r="K74" s="23"/>
      <c r="L74" s="23"/>
      <c r="M74" s="23"/>
      <c r="N74" s="23"/>
      <c r="O74" s="23"/>
      <c r="P74" s="23"/>
      <c r="Q74" s="23"/>
      <c r="S74" s="35"/>
    </row>
    <row r="75" spans="1:19" x14ac:dyDescent="0.25">
      <c r="A75" s="23"/>
      <c r="B75" s="23"/>
      <c r="C75" s="23"/>
      <c r="D75" s="23"/>
      <c r="E75" s="23"/>
      <c r="F75" s="23"/>
      <c r="G75" s="23"/>
      <c r="H75" s="23"/>
      <c r="I75" s="23"/>
      <c r="J75" s="23"/>
      <c r="K75" s="23"/>
      <c r="L75" s="23"/>
      <c r="M75" s="23"/>
      <c r="N75" s="23"/>
      <c r="O75" s="23"/>
      <c r="P75" s="23"/>
      <c r="Q75" s="23"/>
      <c r="S75" s="35"/>
    </row>
    <row r="76" spans="1:19" x14ac:dyDescent="0.25">
      <c r="A76" s="23"/>
      <c r="B76" s="23"/>
      <c r="C76" s="23"/>
      <c r="D76" s="23"/>
      <c r="E76" s="23"/>
      <c r="F76" s="23"/>
      <c r="G76" s="23"/>
      <c r="H76" s="23"/>
      <c r="I76" s="23"/>
      <c r="J76" s="23"/>
      <c r="K76" s="23"/>
      <c r="L76" s="23"/>
      <c r="M76" s="23"/>
      <c r="N76" s="23"/>
      <c r="O76" s="23"/>
      <c r="P76" s="23"/>
      <c r="Q76" s="23"/>
      <c r="S76" s="35"/>
    </row>
    <row r="77" spans="1:19" x14ac:dyDescent="0.25">
      <c r="A77" s="23"/>
      <c r="B77" s="23"/>
      <c r="C77" s="23"/>
      <c r="D77" s="23"/>
      <c r="E77" s="23"/>
      <c r="F77" s="23"/>
      <c r="G77" s="23"/>
      <c r="H77" s="23"/>
      <c r="I77" s="23"/>
      <c r="J77" s="23"/>
      <c r="K77" s="23"/>
      <c r="L77" s="23"/>
      <c r="M77" s="23"/>
      <c r="N77" s="23"/>
      <c r="O77" s="23"/>
      <c r="P77" s="23"/>
      <c r="Q77" s="23"/>
      <c r="S77" s="35"/>
    </row>
    <row r="78" spans="1:19" x14ac:dyDescent="0.25">
      <c r="A78" s="23"/>
      <c r="B78" s="23"/>
      <c r="C78" s="23"/>
      <c r="D78" s="23"/>
      <c r="E78" s="23"/>
      <c r="F78" s="23"/>
      <c r="G78" s="23"/>
      <c r="H78" s="23"/>
      <c r="I78" s="23"/>
      <c r="J78" s="23"/>
      <c r="K78" s="23"/>
      <c r="L78" s="23"/>
      <c r="M78" s="23"/>
      <c r="N78" s="23"/>
      <c r="O78" s="23"/>
      <c r="P78" s="23"/>
      <c r="Q78" s="23"/>
      <c r="S78" s="35"/>
    </row>
  </sheetData>
  <sheetProtection password="CDFC" sheet="1" objects="1" scenarios="1"/>
  <mergeCells count="7">
    <mergeCell ref="O8:P8"/>
    <mergeCell ref="B5:K5"/>
    <mergeCell ref="D47:I47"/>
    <mergeCell ref="B2:K2"/>
    <mergeCell ref="B3:K3"/>
    <mergeCell ref="B4:K4"/>
    <mergeCell ref="L6:N6"/>
  </mergeCells>
  <conditionalFormatting sqref="S30">
    <cfRule type="expression" dxfId="19" priority="30">
      <formula>$O$30&gt;0.4999</formula>
    </cfRule>
  </conditionalFormatting>
  <conditionalFormatting sqref="S40">
    <cfRule type="expression" dxfId="18" priority="29">
      <formula>$O$40&gt;15</formula>
    </cfRule>
  </conditionalFormatting>
  <conditionalFormatting sqref="S41">
    <cfRule type="expression" dxfId="17" priority="28">
      <formula>$O$41&gt;10</formula>
    </cfRule>
  </conditionalFormatting>
  <conditionalFormatting sqref="S44">
    <cfRule type="expression" dxfId="16" priority="24">
      <formula>$O$44="Yes"</formula>
    </cfRule>
  </conditionalFormatting>
  <conditionalFormatting sqref="S45">
    <cfRule type="expression" dxfId="15" priority="23">
      <formula>$O$45="Yes"</formula>
    </cfRule>
  </conditionalFormatting>
  <conditionalFormatting sqref="S34">
    <cfRule type="expression" dxfId="14" priority="22">
      <formula>$O$34&gt;0.4999</formula>
    </cfRule>
  </conditionalFormatting>
  <conditionalFormatting sqref="D47">
    <cfRule type="expression" dxfId="13" priority="21">
      <formula>$O$21+$O$40+$O$41&lt;&gt;100</formula>
    </cfRule>
  </conditionalFormatting>
  <conditionalFormatting sqref="S42">
    <cfRule type="expression" dxfId="12" priority="19">
      <formula>$O$42="More than 2 degrees."</formula>
    </cfRule>
    <cfRule type="expression" dxfId="11" priority="34">
      <formula>$O$43="More than 2 degrees."</formula>
    </cfRule>
  </conditionalFormatting>
  <conditionalFormatting sqref="S43">
    <cfRule type="expression" dxfId="10" priority="18">
      <formula>$O$43="Rolling or Rugged"</formula>
    </cfRule>
  </conditionalFormatting>
  <conditionalFormatting sqref="S13">
    <cfRule type="expression" dxfId="9" priority="37">
      <formula>$O$13*($O$18/$O$17)&gt;0.5</formula>
    </cfRule>
    <cfRule type="expression" dxfId="8" priority="6">
      <formula>$W$13=1</formula>
    </cfRule>
    <cfRule type="expression" dxfId="7" priority="5">
      <formula>$W$13=2</formula>
    </cfRule>
  </conditionalFormatting>
  <conditionalFormatting sqref="S36">
    <cfRule type="expression" dxfId="6" priority="17">
      <formula>$O$36*$O$18/$O$17&gt;$O$32</formula>
    </cfRule>
  </conditionalFormatting>
  <conditionalFormatting sqref="S11">
    <cfRule type="expression" dxfId="5" priority="8">
      <formula>$W$11=1</formula>
    </cfRule>
    <cfRule type="expression" dxfId="4" priority="7">
      <formula>$W$11=2</formula>
    </cfRule>
  </conditionalFormatting>
  <conditionalFormatting sqref="S10">
    <cfRule type="expression" dxfId="3" priority="4">
      <formula>$W$10=0</formula>
    </cfRule>
  </conditionalFormatting>
  <conditionalFormatting sqref="S12">
    <cfRule type="expression" dxfId="2" priority="3">
      <formula>$W$12=0</formula>
    </cfRule>
  </conditionalFormatting>
  <conditionalFormatting sqref="S17">
    <cfRule type="expression" dxfId="1" priority="2">
      <formula>$W$17=0</formula>
    </cfRule>
  </conditionalFormatting>
  <conditionalFormatting sqref="S22">
    <cfRule type="expression" dxfId="0" priority="1">
      <formula>$W$22-$O$22&gt;0.5</formula>
    </cfRule>
  </conditionalFormatting>
  <dataValidations count="1">
    <dataValidation type="list" showInputMessage="1" showErrorMessage="1" sqref="O10 O44:O45 O12">
      <formula1>$R$10:$R$11</formula1>
    </dataValidation>
  </dataValidations>
  <pageMargins left="0.7" right="0.7" top="0.75" bottom="0.75" header="0.3" footer="0.3"/>
  <pageSetup paperSize="3" scale="83" orientation="landscape" horizontalDpi="4294967295" verticalDpi="4294967295" r:id="rId1"/>
  <ignoredErrors>
    <ignoredError sqref="S11" formula="1"/>
  </ignoredErrors>
  <extLst>
    <ext xmlns:x14="http://schemas.microsoft.com/office/spreadsheetml/2009/9/main" uri="{CCE6A557-97BC-4b89-ADB6-D9C93CAAB3DF}">
      <x14:dataValidations xmlns:xm="http://schemas.microsoft.com/office/excel/2006/main" count="5">
        <x14:dataValidation type="list" showInputMessage="1" showErrorMessage="1">
          <x14:formula1>
            <xm:f>Sheet1!$D$3:$D$4</xm:f>
          </x14:formula1>
          <xm:sqref>O43</xm:sqref>
        </x14:dataValidation>
        <x14:dataValidation type="list" allowBlank="1" showInputMessage="1" showErrorMessage="1">
          <x14:formula1>
            <xm:f>Sheet1!$F$3:$F$5</xm:f>
          </x14:formula1>
          <xm:sqref>O42</xm:sqref>
        </x14:dataValidation>
        <x14:dataValidation type="list" allowBlank="1" showInputMessage="1" showErrorMessage="1">
          <x14:formula1>
            <xm:f>Sheet1!$L$3:$L$12</xm:f>
          </x14:formula1>
          <xm:sqref>O20</xm:sqref>
        </x14:dataValidation>
        <x14:dataValidation type="list" allowBlank="1" showInputMessage="1" showErrorMessage="1">
          <x14:formula1>
            <xm:f>Sheet1!$J$3:$J$8</xm:f>
          </x14:formula1>
          <xm:sqref>O22</xm:sqref>
        </x14:dataValidation>
        <x14:dataValidation type="list" showInputMessage="1" showErrorMessage="1">
          <x14:formula1>
            <xm:f>Sheet1!$O$3:$O$6</xm:f>
          </x14:formula1>
          <xm:sqref>S4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O12"/>
  <sheetViews>
    <sheetView workbookViewId="0">
      <selection activeCell="O6" sqref="O6"/>
    </sheetView>
  </sheetViews>
  <sheetFormatPr defaultRowHeight="15" x14ac:dyDescent="0.25"/>
  <cols>
    <col min="4" max="4" width="16.5703125" bestFit="1" customWidth="1"/>
  </cols>
  <sheetData>
    <row r="3" spans="4:15" x14ac:dyDescent="0.25">
      <c r="D3" t="s">
        <v>61</v>
      </c>
      <c r="F3" t="s">
        <v>141</v>
      </c>
      <c r="J3">
        <v>0</v>
      </c>
      <c r="L3">
        <v>5000</v>
      </c>
      <c r="O3" t="s">
        <v>204</v>
      </c>
    </row>
    <row r="4" spans="4:15" x14ac:dyDescent="0.25">
      <c r="D4" t="s">
        <v>157</v>
      </c>
      <c r="F4" t="s">
        <v>142</v>
      </c>
      <c r="J4">
        <v>0.5</v>
      </c>
      <c r="L4">
        <v>10000</v>
      </c>
      <c r="O4" t="s">
        <v>205</v>
      </c>
    </row>
    <row r="5" spans="4:15" x14ac:dyDescent="0.25">
      <c r="F5" t="s">
        <v>143</v>
      </c>
      <c r="J5">
        <v>1</v>
      </c>
      <c r="L5">
        <v>15000</v>
      </c>
      <c r="O5" t="s">
        <v>214</v>
      </c>
    </row>
    <row r="6" spans="4:15" x14ac:dyDescent="0.25">
      <c r="J6">
        <v>1.5</v>
      </c>
      <c r="L6">
        <v>20000</v>
      </c>
    </row>
    <row r="7" spans="4:15" x14ac:dyDescent="0.25">
      <c r="J7">
        <v>2</v>
      </c>
      <c r="L7">
        <v>25000</v>
      </c>
    </row>
    <row r="8" spans="4:15" x14ac:dyDescent="0.25">
      <c r="J8">
        <v>2.5</v>
      </c>
      <c r="L8">
        <v>30000</v>
      </c>
    </row>
    <row r="9" spans="4:15" x14ac:dyDescent="0.25">
      <c r="L9">
        <v>35000</v>
      </c>
    </row>
    <row r="10" spans="4:15" x14ac:dyDescent="0.25">
      <c r="L10">
        <v>40000</v>
      </c>
    </row>
    <row r="11" spans="4:15" x14ac:dyDescent="0.25">
      <c r="L11">
        <v>45000</v>
      </c>
    </row>
    <row r="12" spans="4:15" x14ac:dyDescent="0.25">
      <c r="L12">
        <v>50000</v>
      </c>
    </row>
  </sheetData>
  <sheetProtection password="CDF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Calc Deflection</vt:lpstr>
      <vt:lpstr>Speed Percentiles</vt:lpstr>
      <vt:lpstr>Angle Percentile</vt:lpstr>
      <vt:lpstr>Do Not Use</vt:lpstr>
      <vt:lpstr>Detailed worksheet</vt:lpstr>
      <vt:lpstr>Rate calculations</vt:lpstr>
      <vt:lpstr>Instructions</vt:lpstr>
      <vt:lpstr>GUIDANCE ON TCB PINNING</vt:lpstr>
      <vt:lpstr>Sheet1</vt:lpstr>
      <vt:lpstr>Sheet2</vt:lpstr>
      <vt:lpstr>'GUIDANCE ON TCB PINNING'!Print_Area</vt:lpstr>
      <vt:lpstr>Sheet2!Print_Area</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piperdl</dc:creator>
  <cp:lastModifiedBy>Dave 3 31 2014</cp:lastModifiedBy>
  <cp:lastPrinted>2015-01-09T19:27:56Z</cp:lastPrinted>
  <dcterms:created xsi:type="dcterms:W3CDTF">2014-01-22T14:27:38Z</dcterms:created>
  <dcterms:modified xsi:type="dcterms:W3CDTF">2015-03-10T16:20:47Z</dcterms:modified>
</cp:coreProperties>
</file>