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2" yWindow="65488" windowWidth="19884" windowHeight="11736" activeTab="0"/>
  </bookViews>
  <sheets>
    <sheet name="Equipment Sizing" sheetId="1" r:id="rId1"/>
    <sheet name="Inventory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<sst xmlns="http://schemas.openxmlformats.org/spreadsheetml/2006/main" count="126" uniqueCount="67">
  <si>
    <t xml:space="preserve"> Snow Removal Equipment Calculations</t>
  </si>
  <si>
    <t>Airport Name</t>
  </si>
  <si>
    <t>Location</t>
  </si>
  <si>
    <t>*Type of Airport</t>
  </si>
  <si>
    <t>*Annual Operations</t>
  </si>
  <si>
    <t>Critical Snow Removal Areas:</t>
  </si>
  <si>
    <t>*Primary Runway (usually one)</t>
  </si>
  <si>
    <t>*Terminal, Cargo, and General Aviation Aprons</t>
  </si>
  <si>
    <t>Critical apron area assumed as 1/2 of the apron.</t>
  </si>
  <si>
    <t>% Req' x</t>
  </si>
  <si>
    <t>Other critical areas (ie. emergency or ARFF access roads)</t>
  </si>
  <si>
    <t>Eligible Items</t>
  </si>
  <si>
    <t>Rotary Plow</t>
  </si>
  <si>
    <t>Displacement Plow</t>
  </si>
  <si>
    <t>Sweeper</t>
  </si>
  <si>
    <t>Hopper Spreader</t>
  </si>
  <si>
    <t>Front End Loader</t>
  </si>
  <si>
    <t>Class 6 (&gt; 6000 tons/hr)</t>
  </si>
  <si>
    <t>This program assumes at least 15" annual snow fall.</t>
  </si>
  <si>
    <t>Max Quantity</t>
  </si>
  <si>
    <t>Size</t>
  </si>
  <si>
    <t xml:space="preserve">length (ft)  x </t>
  </si>
  <si>
    <t>*Snow Depth (in)</t>
  </si>
  <si>
    <t>*Snow Density (lbs/cu ft)</t>
  </si>
  <si>
    <t>tons/hr Total</t>
  </si>
  <si>
    <t>ft, Total</t>
  </si>
  <si>
    <t>width (ft)</t>
  </si>
  <si>
    <t>Total Area=</t>
  </si>
  <si>
    <t xml:space="preserve">Tons of Snow </t>
  </si>
  <si>
    <t>sq. ft.</t>
  </si>
  <si>
    <t>tons</t>
  </si>
  <si>
    <t>*Parallel taxiway and one or two principle connecting taxiways</t>
  </si>
  <si>
    <t>Time allowed for removal per AC 150/5200-30</t>
  </si>
  <si>
    <t>hours</t>
  </si>
  <si>
    <t xml:space="preserve">Rotary Plow </t>
  </si>
  <si>
    <t>*Rotary Plow Efficiency %</t>
  </si>
  <si>
    <t>Minimum Rotary Plow snow removal rate</t>
  </si>
  <si>
    <t>*Operating Speed (mph)</t>
  </si>
  <si>
    <t>*Plow Efficiency %</t>
  </si>
  <si>
    <t>*Plow Cutting Angle (degrees)</t>
  </si>
  <si>
    <t>Effective Blade Length (ft) Required</t>
  </si>
  <si>
    <t>Actual Blade Length (ft) Required</t>
  </si>
  <si>
    <t>tons/hr</t>
  </si>
  <si>
    <t>ft.</t>
  </si>
  <si>
    <t>*Average Annual Snow Fall</t>
  </si>
  <si>
    <t>=</t>
  </si>
  <si>
    <t>General Aviation</t>
  </si>
  <si>
    <t>Commercial Service</t>
  </si>
  <si>
    <t>&lt;6000</t>
  </si>
  <si>
    <t>6000 - 10,000</t>
  </si>
  <si>
    <t>10,000 - 40,000</t>
  </si>
  <si>
    <t>&gt;40,000</t>
  </si>
  <si>
    <t>Snow Removal Equipment Inventory</t>
  </si>
  <si>
    <t>Equipment Type (Plow, Sweeper, Loader, etc.)</t>
  </si>
  <si>
    <t>Brand</t>
  </si>
  <si>
    <t>Model</t>
  </si>
  <si>
    <t>Mfg Year</t>
  </si>
  <si>
    <t>Size/Capacity</t>
  </si>
  <si>
    <t>External Dimensions (HxWxL)</t>
  </si>
  <si>
    <t>Class 1 (up to 600 tons/hr, 50' casting distance)</t>
  </si>
  <si>
    <t>Class 2 (up to 1500 tons/hr, 75' casting distance)</t>
  </si>
  <si>
    <t>Class 3 (up to 2500 tons/hr, 100' casting distance)</t>
  </si>
  <si>
    <t>Class 4 (up to 3000 tons/hr, 100' casting distance)</t>
  </si>
  <si>
    <t>Class 5 (up to 4000 tons/hr, 100' casting distance)</t>
  </si>
  <si>
    <t>Class 5 (up to 3000 tons/hr, 150' casting distance)</t>
  </si>
  <si>
    <t>Class 6 (up to 5000+ tons/hr, 100' casting distance)</t>
  </si>
  <si>
    <t>Rev Date: 01-5-2012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</si>
</sst>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;;;"/>
  </numFmts>
  <fonts count="13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Wingdings 3"/>
      <family val="1"/>
    </font>
    <font>
      <i/>
      <sz val="10"/>
      <name val="Arial"/>
      <family val="2"/>
    </font>
    <font>
      <sz val="8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0"/>
      <color indexed="44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Continuous"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0" xfId="0" applyFont="1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 locked="0"/>
    </xf>
    <xf numFmtId="38" fontId="0" fillId="2" borderId="0" xfId="0" applyNumberFormat="1" applyFill="1" applyBorder="1" applyAlignment="1" applyProtection="1">
      <alignment/>
      <protection locked="0"/>
    </xf>
    <xf numFmtId="38" fontId="0" fillId="2" borderId="0" xfId="0" applyNumberForma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38" fontId="0" fillId="0" borderId="5" xfId="0" applyNumberFormat="1" applyFill="1" applyBorder="1" applyAlignment="1" applyProtection="1">
      <alignment/>
      <protection locked="0"/>
    </xf>
    <xf numFmtId="38" fontId="0" fillId="3" borderId="5" xfId="0" applyNumberFormat="1" applyFill="1" applyBorder="1" applyAlignment="1" applyProtection="1">
      <alignment/>
      <protection hidden="1"/>
    </xf>
    <xf numFmtId="38" fontId="4" fillId="3" borderId="5" xfId="0" applyNumberFormat="1" applyFont="1" applyFill="1" applyBorder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/>
    </xf>
    <xf numFmtId="164" fontId="4" fillId="3" borderId="5" xfId="0" applyNumberFormat="1" applyFont="1" applyFill="1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38" fontId="4" fillId="3" borderId="7" xfId="0" applyNumberFormat="1" applyFont="1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4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Continuous" wrapText="1"/>
      <protection/>
    </xf>
    <xf numFmtId="0" fontId="7" fillId="2" borderId="0" xfId="0" applyFont="1" applyFill="1" applyBorder="1" applyAlignment="1" applyProtection="1">
      <alignment horizontal="centerContinuous" wrapText="1"/>
      <protection/>
    </xf>
    <xf numFmtId="0" fontId="8" fillId="4" borderId="8" xfId="0" applyFon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8" fillId="4" borderId="10" xfId="0" applyFont="1" applyFill="1" applyBorder="1" applyAlignment="1" applyProtection="1">
      <alignment horizontal="center"/>
      <protection hidden="1"/>
    </xf>
    <xf numFmtId="1" fontId="8" fillId="4" borderId="11" xfId="0" applyNumberFormat="1" applyFont="1" applyFill="1" applyBorder="1" applyAlignment="1" applyProtection="1">
      <alignment horizontal="center"/>
      <protection hidden="1"/>
    </xf>
    <xf numFmtId="0" fontId="8" fillId="4" borderId="12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Continuous" wrapText="1"/>
      <protection/>
    </xf>
    <xf numFmtId="0" fontId="0" fillId="2" borderId="13" xfId="0" applyFill="1" applyBorder="1" applyAlignment="1" applyProtection="1">
      <alignment/>
      <protection hidden="1"/>
    </xf>
    <xf numFmtId="0" fontId="0" fillId="2" borderId="13" xfId="0" applyFill="1" applyBorder="1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Continuous"/>
      <protection/>
    </xf>
    <xf numFmtId="0" fontId="3" fillId="2" borderId="0" xfId="0" applyFont="1" applyFill="1" applyBorder="1" applyAlignment="1" applyProtection="1">
      <alignment horizontal="centerContinuous"/>
      <protection/>
    </xf>
    <xf numFmtId="0" fontId="1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 quotePrefix="1">
      <alignment/>
      <protection/>
    </xf>
    <xf numFmtId="165" fontId="0" fillId="2" borderId="0" xfId="0" applyNumberFormat="1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 horizontal="centerContinuous"/>
      <protection/>
    </xf>
    <xf numFmtId="0" fontId="2" fillId="2" borderId="15" xfId="0" applyFont="1" applyFill="1" applyBorder="1" applyAlignment="1" applyProtection="1">
      <alignment horizontal="centerContinuous"/>
      <protection/>
    </xf>
    <xf numFmtId="38" fontId="8" fillId="4" borderId="16" xfId="0" applyNumberFormat="1" applyFon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/>
      <protection hidden="1"/>
    </xf>
    <xf numFmtId="0" fontId="0" fillId="2" borderId="18" xfId="0" applyFill="1" applyBorder="1" applyAlignment="1">
      <alignment horizontal="right"/>
    </xf>
    <xf numFmtId="0" fontId="7" fillId="2" borderId="0" xfId="0" applyFont="1" applyFill="1" applyBorder="1" applyAlignment="1" applyProtection="1">
      <alignment horizontal="centerContinuous" wrapText="1"/>
      <protection locked="0"/>
    </xf>
    <xf numFmtId="0" fontId="4" fillId="3" borderId="5" xfId="0" applyNumberFormat="1" applyFont="1" applyFill="1" applyBorder="1" applyAlignment="1" applyProtection="1">
      <alignment/>
      <protection hidden="1"/>
    </xf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Continuous" wrapText="1"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wrapText="1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 horizontal="righ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4" fillId="2" borderId="5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40000"/>
      <rgbColor rgb="0000FF00"/>
      <rgbColor rgb="000000FF"/>
      <rgbColor rgb="00FFFF00"/>
      <rgbColor rgb="00D1DAC0"/>
      <rgbColor rgb="0000FFFF"/>
      <rgbColor rgb="00800000"/>
      <rgbColor rgb="00008000"/>
      <rgbColor rgb="00000080"/>
      <rgbColor rgb="00808000"/>
      <rgbColor rgb="00800080"/>
      <rgbColor rgb="00008080"/>
      <rgbColor rgb="00F5F5F5"/>
      <rgbColor rgb="00808080"/>
      <rgbColor rgb="009999FF"/>
      <rgbColor rgb="00993366"/>
      <rgbColor rgb="00FFFFB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4DAE4"/>
      <rgbColor rgb="00FF99CC"/>
      <rgbColor rgb="00E7C2B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23</xdr:row>
      <xdr:rowOff>9525</xdr:rowOff>
    </xdr:from>
    <xdr:to>
      <xdr:col>16</xdr:col>
      <xdr:colOff>285750</xdr:colOff>
      <xdr:row>36</xdr:row>
      <xdr:rowOff>57150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953250" y="3886200"/>
          <a:ext cx="297180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Snowfall Maps can be found here:
Iowa:
http://www.hprcc.unl.edu/wrcc/states/ia.html
Kansas:
http://www.hprcc.unl.edu/wrcc/states/ks.html
Missouri:
http://www.hprcc.unl.edu/wrcc/states/mo.html
Nebraska:  
http://www.hprcc.unl.edu/wrcc/states/ne.html</a:t>
          </a:r>
        </a:p>
      </xdr:txBody>
    </xdr:sp>
    <xdr:clientData/>
  </xdr:twoCellAnchor>
  <xdr:twoCellAnchor>
    <xdr:from>
      <xdr:col>3</xdr:col>
      <xdr:colOff>9525</xdr:colOff>
      <xdr:row>2</xdr:row>
      <xdr:rowOff>0</xdr:rowOff>
    </xdr:from>
    <xdr:to>
      <xdr:col>4</xdr:col>
      <xdr:colOff>533400</xdr:colOff>
      <xdr:row>3</xdr:row>
      <xdr:rowOff>28575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323975" y="352425"/>
          <a:ext cx="1343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Data entry required</a:t>
          </a:r>
        </a:p>
      </xdr:txBody>
    </xdr:sp>
    <xdr:clientData/>
  </xdr:twoCellAnchor>
  <xdr:twoCellAnchor>
    <xdr:from>
      <xdr:col>5</xdr:col>
      <xdr:colOff>714375</xdr:colOff>
      <xdr:row>45</xdr:row>
      <xdr:rowOff>38100</xdr:rowOff>
    </xdr:from>
    <xdr:to>
      <xdr:col>11</xdr:col>
      <xdr:colOff>76200</xdr:colOff>
      <xdr:row>46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562350" y="7686675"/>
          <a:ext cx="3105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Front End Loader per 500,000 sq. ft. of critical apron space</a:t>
          </a:r>
        </a:p>
      </xdr:txBody>
    </xdr:sp>
    <xdr:clientData/>
  </xdr:twoCellAnchor>
  <xdr:twoCellAnchor>
    <xdr:from>
      <xdr:col>5</xdr:col>
      <xdr:colOff>714375</xdr:colOff>
      <xdr:row>44</xdr:row>
      <xdr:rowOff>38100</xdr:rowOff>
    </xdr:from>
    <xdr:to>
      <xdr:col>11</xdr:col>
      <xdr:colOff>76200</xdr:colOff>
      <xdr:row>45</xdr:row>
      <xdr:rowOff>19050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562350" y="7524750"/>
          <a:ext cx="3105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Hopper Spreader per 750,000 sq. ft. of pavement</a:t>
          </a:r>
        </a:p>
      </xdr:txBody>
    </xdr:sp>
    <xdr:clientData/>
  </xdr:twoCellAnchor>
  <xdr:twoCellAnchor>
    <xdr:from>
      <xdr:col>5</xdr:col>
      <xdr:colOff>714375</xdr:colOff>
      <xdr:row>43</xdr:row>
      <xdr:rowOff>47625</xdr:rowOff>
    </xdr:from>
    <xdr:to>
      <xdr:col>11</xdr:col>
      <xdr:colOff>76200</xdr:colOff>
      <xdr:row>44</xdr:row>
      <xdr:rowOff>19050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3562350" y="7362825"/>
          <a:ext cx="31051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Sweeper per 750,000 sq. ft. of pavement (rounded up)</a:t>
          </a:r>
        </a:p>
      </xdr:txBody>
    </xdr:sp>
    <xdr:clientData/>
  </xdr:twoCellAnchor>
  <xdr:twoCellAnchor>
    <xdr:from>
      <xdr:col>11</xdr:col>
      <xdr:colOff>361950</xdr:colOff>
      <xdr:row>40</xdr:row>
      <xdr:rowOff>47625</xdr:rowOff>
    </xdr:from>
    <xdr:to>
      <xdr:col>18</xdr:col>
      <xdr:colOff>542925</xdr:colOff>
      <xdr:row>44</xdr:row>
      <xdr:rowOff>76200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6953250" y="6696075"/>
          <a:ext cx="4505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Refer to Figure 2-6 AC 150/5220-20 for GVW &amp; HP rating @ carrier vehicles.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Refer to AC 150/5220-20, Chapter 6, Paragraph 38for minimum equipment requirements at Commercial Service and General Aviation airports. Program Guidance Letter, PGL 08-04 limits non Primary airports to one SRE vehicle</a:t>
          </a:r>
        </a:p>
      </xdr:txBody>
    </xdr:sp>
    <xdr:clientData/>
  </xdr:twoCellAnchor>
  <xdr:twoCellAnchor>
    <xdr:from>
      <xdr:col>5</xdr:col>
      <xdr:colOff>714375</xdr:colOff>
      <xdr:row>42</xdr:row>
      <xdr:rowOff>28575</xdr:rowOff>
    </xdr:from>
    <xdr:to>
      <xdr:col>11</xdr:col>
      <xdr:colOff>76200</xdr:colOff>
      <xdr:row>43</xdr:row>
      <xdr:rowOff>19050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3562350" y="7038975"/>
          <a:ext cx="3105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Up to 2 times the # of snow blowers (displacement plows should have equal capacity as max rotary plow capacity)</a:t>
          </a:r>
        </a:p>
      </xdr:txBody>
    </xdr:sp>
    <xdr:clientData/>
  </xdr:twoCellAnchor>
  <xdr:twoCellAnchor>
    <xdr:from>
      <xdr:col>6</xdr:col>
      <xdr:colOff>266700</xdr:colOff>
      <xdr:row>3</xdr:row>
      <xdr:rowOff>114300</xdr:rowOff>
    </xdr:from>
    <xdr:to>
      <xdr:col>17</xdr:col>
      <xdr:colOff>438150</xdr:colOff>
      <xdr:row>7</xdr:row>
      <xdr:rowOff>171450</xdr:rowOff>
    </xdr:to>
    <xdr:sp>
      <xdr:nvSpPr>
        <xdr:cNvPr id="8" name="TextBox 4"/>
        <xdr:cNvSpPr txBox="1">
          <a:spLocks noChangeArrowheads="1"/>
        </xdr:cNvSpPr>
      </xdr:nvSpPr>
      <xdr:spPr>
        <a:xfrm>
          <a:off x="3838575" y="628650"/>
          <a:ext cx="69056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Users requiring assistance or reasonable accommodation may contact the FAA Central Region at 816-329-2600
Refer to AC 150/5220-20, Airport Snow and Ice Control Equipment, and 
AC 150/5200-30, Airport Winter Safety and Operations for specific guidance.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workbookViewId="0" topLeftCell="A1">
      <selection activeCell="D5" sqref="D5:E5"/>
    </sheetView>
  </sheetViews>
  <sheetFormatPr defaultColWidth="9.140625" defaultRowHeight="12.75"/>
  <cols>
    <col min="1" max="1" width="2.7109375" style="0" customWidth="1"/>
    <col min="3" max="3" width="7.8515625" style="0" customWidth="1"/>
    <col min="4" max="4" width="12.28125" style="0" customWidth="1"/>
    <col min="5" max="5" width="10.7109375" style="0" customWidth="1"/>
    <col min="6" max="6" width="10.8515625" style="0" customWidth="1"/>
    <col min="7" max="7" width="8.140625" style="0" customWidth="1"/>
    <col min="8" max="8" width="9.140625" style="0" customWidth="1"/>
    <col min="9" max="9" width="9.7109375" style="0" bestFit="1" customWidth="1"/>
    <col min="17" max="17" width="10.00390625" style="0" customWidth="1"/>
    <col min="20" max="20" width="2.28125" style="0" customWidth="1"/>
  </cols>
  <sheetData>
    <row r="1" spans="1:20" ht="15">
      <c r="A1" s="44"/>
      <c r="B1" s="39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3"/>
      <c r="T1" s="4"/>
    </row>
    <row r="2" spans="1:20" ht="12.75">
      <c r="A2" s="9"/>
      <c r="B2" s="40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  <c r="O2" s="6"/>
      <c r="P2" s="6"/>
      <c r="Q2" s="6"/>
      <c r="R2" s="6"/>
      <c r="S2" s="7"/>
      <c r="T2" s="8"/>
    </row>
    <row r="3" spans="1:20" ht="12.75">
      <c r="A3" s="9"/>
      <c r="B3" s="5"/>
      <c r="C3" s="5"/>
      <c r="D3" s="6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7"/>
      <c r="T3" s="8"/>
    </row>
    <row r="4" spans="1:20" ht="12.75">
      <c r="A4" s="9"/>
      <c r="B4" s="40"/>
      <c r="C4" s="10"/>
      <c r="D4" s="7"/>
      <c r="E4" s="10"/>
      <c r="F4" s="10"/>
      <c r="G4" s="10"/>
      <c r="H4" s="10"/>
      <c r="I4" s="10"/>
      <c r="J4" s="10"/>
      <c r="K4" s="6"/>
      <c r="L4" s="6"/>
      <c r="M4" s="6"/>
      <c r="N4" s="6"/>
      <c r="O4" s="6"/>
      <c r="P4" s="6"/>
      <c r="Q4" s="6"/>
      <c r="R4" s="6"/>
      <c r="S4" s="7"/>
      <c r="T4" s="8"/>
    </row>
    <row r="5" spans="1:20" ht="12.75">
      <c r="A5" s="9"/>
      <c r="B5" s="11"/>
      <c r="C5" s="11" t="s">
        <v>1</v>
      </c>
      <c r="D5" s="66"/>
      <c r="E5" s="67"/>
      <c r="F5" s="23"/>
      <c r="G5" s="25"/>
      <c r="H5" s="53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8"/>
    </row>
    <row r="6" spans="1:20" ht="12.75">
      <c r="A6" s="9"/>
      <c r="B6" s="11"/>
      <c r="C6" s="11" t="s">
        <v>2</v>
      </c>
      <c r="D6" s="68"/>
      <c r="E6" s="69"/>
      <c r="F6" s="30"/>
      <c r="G6" s="25"/>
      <c r="H6" s="5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8"/>
    </row>
    <row r="7" spans="1:20" ht="12.75">
      <c r="A7" s="9"/>
      <c r="B7" s="38" t="s">
        <v>44</v>
      </c>
      <c r="C7" s="6"/>
      <c r="D7" s="12"/>
      <c r="E7" s="48">
        <v>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8"/>
    </row>
    <row r="8" spans="1:20" ht="15" customHeight="1">
      <c r="A8" s="9"/>
      <c r="B8" s="6"/>
      <c r="C8" s="11" t="s">
        <v>3</v>
      </c>
      <c r="D8" s="13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8"/>
    </row>
    <row r="9" spans="1:20" ht="15.75" customHeight="1">
      <c r="A9" s="9"/>
      <c r="B9" s="6"/>
      <c r="C9" s="11" t="s">
        <v>4</v>
      </c>
      <c r="D9" s="14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8"/>
    </row>
    <row r="10" spans="1:20" ht="12.75">
      <c r="A10" s="9"/>
      <c r="B10" s="6"/>
      <c r="C10" s="6"/>
      <c r="D10" s="6"/>
      <c r="E10" s="6"/>
      <c r="F10" s="11"/>
      <c r="G10" s="11"/>
      <c r="H10" s="11" t="s">
        <v>32</v>
      </c>
      <c r="I10" s="52">
        <f>IF(AND(D8=1,D9=1),6,IF(AND(D8=1,D9=2),4,IF(AND(D8=1,D9=3),3,IF(OR(AND(D8=1,D9=4),AND(D8=2,D9=1)),2,IF(AND(D8=2,D9=2),1.5,IF(AND(D8=2,D9=3),1,0.5))))))</f>
        <v>6</v>
      </c>
      <c r="J10" s="6" t="s">
        <v>33</v>
      </c>
      <c r="K10" s="6"/>
      <c r="L10" s="6"/>
      <c r="M10" s="6"/>
      <c r="N10" s="6"/>
      <c r="O10" s="15"/>
      <c r="P10" s="6"/>
      <c r="Q10" s="6"/>
      <c r="R10" s="6"/>
      <c r="S10" s="7"/>
      <c r="T10" s="8"/>
    </row>
    <row r="11" spans="1:20" ht="15">
      <c r="A11" s="9"/>
      <c r="B11" s="41" t="s">
        <v>5</v>
      </c>
      <c r="C11" s="6"/>
      <c r="D11" s="6"/>
      <c r="E11" s="6"/>
      <c r="F11" s="6"/>
      <c r="G11" s="6"/>
      <c r="H11" s="6"/>
      <c r="I11" s="6"/>
      <c r="J11" s="6"/>
      <c r="K11" s="6"/>
      <c r="L11" s="16" t="s">
        <v>34</v>
      </c>
      <c r="M11" s="6"/>
      <c r="N11" s="6"/>
      <c r="O11" s="15"/>
      <c r="P11" s="6"/>
      <c r="Q11" s="6"/>
      <c r="R11" s="6"/>
      <c r="S11" s="7"/>
      <c r="T11" s="8"/>
    </row>
    <row r="12" spans="1:20" ht="12.75">
      <c r="A12" s="9"/>
      <c r="B12" s="6"/>
      <c r="C12" s="16" t="s">
        <v>6</v>
      </c>
      <c r="D12" s="6"/>
      <c r="E12" s="6"/>
      <c r="F12" s="6"/>
      <c r="G12" s="6"/>
      <c r="H12" s="6"/>
      <c r="I12" s="6"/>
      <c r="J12" s="6"/>
      <c r="K12" s="6"/>
      <c r="L12" s="6" t="s">
        <v>35</v>
      </c>
      <c r="M12" s="6"/>
      <c r="N12" s="6"/>
      <c r="O12" s="17">
        <v>70</v>
      </c>
      <c r="P12" s="6"/>
      <c r="Q12" s="6"/>
      <c r="R12" s="6"/>
      <c r="S12" s="7"/>
      <c r="T12" s="8"/>
    </row>
    <row r="13" spans="1:20" ht="12.75">
      <c r="A13" s="9"/>
      <c r="B13" s="6"/>
      <c r="C13" s="11"/>
      <c r="D13" s="17">
        <v>5000</v>
      </c>
      <c r="E13" s="6" t="s">
        <v>21</v>
      </c>
      <c r="F13" s="17">
        <v>75</v>
      </c>
      <c r="G13" s="6" t="s">
        <v>26</v>
      </c>
      <c r="H13" s="11" t="s">
        <v>45</v>
      </c>
      <c r="I13" s="18">
        <f>F13*D13</f>
        <v>375000</v>
      </c>
      <c r="J13" s="6" t="s">
        <v>29</v>
      </c>
      <c r="K13" s="6"/>
      <c r="L13" s="6" t="s">
        <v>36</v>
      </c>
      <c r="M13" s="6"/>
      <c r="N13" s="6"/>
      <c r="O13" s="6"/>
      <c r="P13" s="19">
        <f>IF(OR(I10=0,O12=0),0.1,(ROUNDDOWN(I38/(I10*O12/100),0)))</f>
        <v>156</v>
      </c>
      <c r="Q13" s="6" t="s">
        <v>42</v>
      </c>
      <c r="R13" s="6"/>
      <c r="S13" s="7"/>
      <c r="T13" s="8"/>
    </row>
    <row r="14" spans="1:20" ht="12.75">
      <c r="A14" s="9"/>
      <c r="B14" s="6"/>
      <c r="C14" s="6"/>
      <c r="D14" s="17"/>
      <c r="E14" s="6" t="s">
        <v>21</v>
      </c>
      <c r="F14" s="17"/>
      <c r="G14" s="6" t="s">
        <v>26</v>
      </c>
      <c r="H14" s="11" t="s">
        <v>45</v>
      </c>
      <c r="I14" s="18">
        <f>F14*D14</f>
        <v>0</v>
      </c>
      <c r="J14" s="6" t="s">
        <v>29</v>
      </c>
      <c r="K14" s="6"/>
      <c r="L14" s="6"/>
      <c r="M14" s="6"/>
      <c r="N14" s="6"/>
      <c r="O14" s="6"/>
      <c r="P14" s="6"/>
      <c r="Q14" s="6"/>
      <c r="R14" s="6"/>
      <c r="S14" s="7"/>
      <c r="T14" s="8"/>
    </row>
    <row r="15" spans="1:20" ht="12.75">
      <c r="A15" s="9"/>
      <c r="B15" s="6"/>
      <c r="C15" s="6"/>
      <c r="D15" s="6"/>
      <c r="E15" s="6"/>
      <c r="F15" s="6"/>
      <c r="G15" s="6"/>
      <c r="H15" s="6"/>
      <c r="I15" s="6"/>
      <c r="J15" s="6"/>
      <c r="K15" s="6"/>
      <c r="L15" s="16" t="s">
        <v>13</v>
      </c>
      <c r="M15" s="6"/>
      <c r="N15" s="6"/>
      <c r="O15" s="6"/>
      <c r="P15" s="6"/>
      <c r="Q15" s="6"/>
      <c r="R15" s="6"/>
      <c r="S15" s="7"/>
      <c r="T15" s="8"/>
    </row>
    <row r="16" spans="1:20" ht="12.75">
      <c r="A16" s="9"/>
      <c r="B16" s="6"/>
      <c r="C16" s="16" t="s">
        <v>31</v>
      </c>
      <c r="D16" s="6"/>
      <c r="E16" s="6"/>
      <c r="F16" s="6"/>
      <c r="G16" s="6"/>
      <c r="H16" s="6"/>
      <c r="I16" s="20"/>
      <c r="J16" s="6"/>
      <c r="K16" s="6"/>
      <c r="L16" s="7"/>
      <c r="M16" s="6"/>
      <c r="N16" s="11" t="s">
        <v>37</v>
      </c>
      <c r="O16" s="17">
        <v>20</v>
      </c>
      <c r="P16" s="6"/>
      <c r="Q16" s="6"/>
      <c r="R16" s="6"/>
      <c r="S16" s="7"/>
      <c r="T16" s="8"/>
    </row>
    <row r="17" spans="1:20" ht="12.75">
      <c r="A17" s="9"/>
      <c r="B17" s="6"/>
      <c r="C17" s="11"/>
      <c r="D17" s="17">
        <v>5600</v>
      </c>
      <c r="E17" s="6" t="s">
        <v>21</v>
      </c>
      <c r="F17" s="17">
        <v>35</v>
      </c>
      <c r="G17" s="6" t="s">
        <v>26</v>
      </c>
      <c r="H17" s="11" t="s">
        <v>45</v>
      </c>
      <c r="I17" s="18">
        <f>F17*D17</f>
        <v>196000</v>
      </c>
      <c r="J17" s="6" t="s">
        <v>29</v>
      </c>
      <c r="K17" s="6"/>
      <c r="L17" s="7"/>
      <c r="M17" s="6"/>
      <c r="N17" s="11" t="s">
        <v>38</v>
      </c>
      <c r="O17" s="17">
        <v>75</v>
      </c>
      <c r="P17" s="6"/>
      <c r="Q17" s="6"/>
      <c r="R17" s="6"/>
      <c r="S17" s="7"/>
      <c r="T17" s="8"/>
    </row>
    <row r="18" spans="1:20" ht="12.75">
      <c r="A18" s="9"/>
      <c r="B18" s="6"/>
      <c r="C18" s="6"/>
      <c r="D18" s="17"/>
      <c r="E18" s="6" t="s">
        <v>21</v>
      </c>
      <c r="F18" s="17"/>
      <c r="G18" s="6" t="s">
        <v>26</v>
      </c>
      <c r="H18" s="11" t="s">
        <v>45</v>
      </c>
      <c r="I18" s="18">
        <f>F18*D18</f>
        <v>0</v>
      </c>
      <c r="J18" s="6" t="s">
        <v>29</v>
      </c>
      <c r="K18" s="6"/>
      <c r="L18" s="7"/>
      <c r="M18" s="6"/>
      <c r="N18" s="11" t="s">
        <v>39</v>
      </c>
      <c r="O18" s="17">
        <v>30</v>
      </c>
      <c r="P18" s="6"/>
      <c r="Q18" s="6"/>
      <c r="R18" s="6"/>
      <c r="S18" s="7"/>
      <c r="T18" s="8"/>
    </row>
    <row r="19" spans="1:20" ht="12.75">
      <c r="A19" s="9"/>
      <c r="B19" s="6"/>
      <c r="C19" s="6"/>
      <c r="D19" s="17"/>
      <c r="E19" s="6" t="s">
        <v>21</v>
      </c>
      <c r="F19" s="17"/>
      <c r="G19" s="6" t="s">
        <v>26</v>
      </c>
      <c r="H19" s="11" t="s">
        <v>45</v>
      </c>
      <c r="I19" s="18">
        <f>F19*D19</f>
        <v>0</v>
      </c>
      <c r="J19" s="6" t="s">
        <v>29</v>
      </c>
      <c r="K19" s="6"/>
      <c r="L19" s="6"/>
      <c r="M19" s="6"/>
      <c r="N19" s="6"/>
      <c r="O19" s="6"/>
      <c r="P19" s="6"/>
      <c r="Q19" s="6"/>
      <c r="R19" s="6"/>
      <c r="S19" s="7"/>
      <c r="T19" s="8"/>
    </row>
    <row r="20" spans="1:20" ht="12.75">
      <c r="A20" s="9"/>
      <c r="B20" s="6"/>
      <c r="C20" s="6"/>
      <c r="D20" s="17"/>
      <c r="E20" s="6" t="s">
        <v>21</v>
      </c>
      <c r="F20" s="17"/>
      <c r="G20" s="6" t="s">
        <v>26</v>
      </c>
      <c r="H20" s="11" t="s">
        <v>45</v>
      </c>
      <c r="I20" s="18">
        <f>F20*D20</f>
        <v>0</v>
      </c>
      <c r="J20" s="6" t="s">
        <v>29</v>
      </c>
      <c r="K20" s="6"/>
      <c r="L20" s="6" t="s">
        <v>40</v>
      </c>
      <c r="M20" s="6"/>
      <c r="N20" s="6"/>
      <c r="O20" s="6"/>
      <c r="P20" s="21">
        <f>IF(OR(F36=0,O16=0,F37=0,O17=0),12,(P13*O12/100)/(F36*O16*F37*O17/100)*12*2000/5280)</f>
        <v>1.3236363636363637</v>
      </c>
      <c r="Q20" s="6" t="s">
        <v>43</v>
      </c>
      <c r="R20" s="6"/>
      <c r="S20" s="7"/>
      <c r="T20" s="8"/>
    </row>
    <row r="21" spans="1:20" ht="12.75">
      <c r="A21" s="9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41</v>
      </c>
      <c r="M21" s="6"/>
      <c r="N21" s="6"/>
      <c r="O21" s="6"/>
      <c r="P21" s="21">
        <f>ROUNDUP(IF((P20/COS(RADIANS(O18)))&lt;6,6,(P20/COS(RADIANS(O18)))),0)</f>
        <v>6</v>
      </c>
      <c r="Q21" s="6" t="s">
        <v>43</v>
      </c>
      <c r="R21" s="6"/>
      <c r="S21" s="7"/>
      <c r="T21" s="8"/>
    </row>
    <row r="22" spans="1:20" ht="12.75">
      <c r="A22" s="9"/>
      <c r="B22" s="6"/>
      <c r="C22" s="16" t="s">
        <v>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8"/>
    </row>
    <row r="23" spans="1:20" ht="15">
      <c r="A23" s="9"/>
      <c r="B23" s="42"/>
      <c r="C23" s="22" t="s">
        <v>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8"/>
    </row>
    <row r="24" spans="1:20" ht="12.75">
      <c r="A24" s="9"/>
      <c r="B24" s="47">
        <v>50</v>
      </c>
      <c r="C24" s="6" t="s">
        <v>9</v>
      </c>
      <c r="D24" s="17">
        <v>500</v>
      </c>
      <c r="E24" s="6" t="s">
        <v>21</v>
      </c>
      <c r="F24" s="17">
        <v>250</v>
      </c>
      <c r="G24" s="6" t="s">
        <v>26</v>
      </c>
      <c r="H24" s="11" t="s">
        <v>45</v>
      </c>
      <c r="I24" s="18">
        <f>F24*D24*(B24/100)</f>
        <v>62500</v>
      </c>
      <c r="J24" s="6" t="s">
        <v>29</v>
      </c>
      <c r="K24" s="6"/>
      <c r="L24" s="6"/>
      <c r="M24" s="6"/>
      <c r="N24" s="6"/>
      <c r="O24" s="6"/>
      <c r="P24" s="6"/>
      <c r="Q24" s="6"/>
      <c r="R24" s="6"/>
      <c r="S24" s="7"/>
      <c r="T24" s="8"/>
    </row>
    <row r="25" spans="1:20" ht="12.75">
      <c r="A25" s="9"/>
      <c r="B25" s="47">
        <v>50</v>
      </c>
      <c r="C25" s="6" t="s">
        <v>9</v>
      </c>
      <c r="D25" s="17"/>
      <c r="E25" s="6" t="s">
        <v>21</v>
      </c>
      <c r="F25" s="17"/>
      <c r="G25" s="6" t="s">
        <v>26</v>
      </c>
      <c r="H25" s="11" t="s">
        <v>45</v>
      </c>
      <c r="I25" s="18">
        <f>F25*D25*(B25/100)</f>
        <v>0</v>
      </c>
      <c r="J25" s="6" t="s">
        <v>29</v>
      </c>
      <c r="K25" s="6"/>
      <c r="L25" s="6"/>
      <c r="M25" s="6"/>
      <c r="N25" s="6"/>
      <c r="O25" s="6"/>
      <c r="P25" s="6"/>
      <c r="Q25" s="6"/>
      <c r="R25" s="6"/>
      <c r="S25" s="7"/>
      <c r="T25" s="8"/>
    </row>
    <row r="26" spans="1:20" ht="12.75">
      <c r="A26" s="9"/>
      <c r="B26" s="47">
        <v>50</v>
      </c>
      <c r="C26" s="6" t="s">
        <v>9</v>
      </c>
      <c r="D26" s="17"/>
      <c r="E26" s="6" t="s">
        <v>21</v>
      </c>
      <c r="F26" s="17"/>
      <c r="G26" s="6" t="s">
        <v>26</v>
      </c>
      <c r="H26" s="11" t="s">
        <v>45</v>
      </c>
      <c r="I26" s="18">
        <f>F26*D26*(B26/100)</f>
        <v>0</v>
      </c>
      <c r="J26" s="6" t="s">
        <v>29</v>
      </c>
      <c r="K26" s="6"/>
      <c r="L26" s="6"/>
      <c r="M26" s="6"/>
      <c r="N26" s="6"/>
      <c r="O26" s="6"/>
      <c r="P26" s="6"/>
      <c r="Q26" s="6"/>
      <c r="R26" s="6"/>
      <c r="S26" s="7"/>
      <c r="T26" s="8"/>
    </row>
    <row r="27" spans="1:20" ht="12.75">
      <c r="A27" s="9"/>
      <c r="B27" s="47">
        <v>50</v>
      </c>
      <c r="C27" s="6" t="s">
        <v>9</v>
      </c>
      <c r="D27" s="17"/>
      <c r="E27" s="6" t="s">
        <v>21</v>
      </c>
      <c r="F27" s="17"/>
      <c r="G27" s="6" t="s">
        <v>26</v>
      </c>
      <c r="H27" s="11" t="s">
        <v>45</v>
      </c>
      <c r="I27" s="18">
        <f>F27*D27*(B27/100)</f>
        <v>0</v>
      </c>
      <c r="J27" s="6" t="s">
        <v>29</v>
      </c>
      <c r="K27" s="6"/>
      <c r="L27" s="6"/>
      <c r="M27" s="6"/>
      <c r="N27" s="6"/>
      <c r="O27" s="6"/>
      <c r="P27" s="6"/>
      <c r="Q27" s="6"/>
      <c r="R27" s="6"/>
      <c r="S27" s="7"/>
      <c r="T27" s="8"/>
    </row>
    <row r="28" spans="1:20" ht="12.75">
      <c r="A28" s="9"/>
      <c r="B28" s="47">
        <v>50</v>
      </c>
      <c r="C28" s="6" t="s">
        <v>9</v>
      </c>
      <c r="D28" s="17"/>
      <c r="E28" s="6" t="s">
        <v>21</v>
      </c>
      <c r="F28" s="17"/>
      <c r="G28" s="6" t="s">
        <v>26</v>
      </c>
      <c r="H28" s="11" t="s">
        <v>45</v>
      </c>
      <c r="I28" s="18">
        <f>F28*D28*(B28/100)</f>
        <v>0</v>
      </c>
      <c r="J28" s="6" t="s">
        <v>29</v>
      </c>
      <c r="K28" s="6"/>
      <c r="L28" s="6"/>
      <c r="M28" s="6"/>
      <c r="N28" s="6"/>
      <c r="O28" s="6"/>
      <c r="P28" s="6"/>
      <c r="Q28" s="6"/>
      <c r="R28" s="6"/>
      <c r="S28" s="7"/>
      <c r="T28" s="8"/>
    </row>
    <row r="29" spans="1:20" ht="12.75">
      <c r="A29" s="9"/>
      <c r="B29" s="6"/>
      <c r="C29" s="16" t="s">
        <v>10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8"/>
    </row>
    <row r="30" spans="1:20" ht="12.75">
      <c r="A30" s="9"/>
      <c r="B30" s="6"/>
      <c r="C30" s="6"/>
      <c r="D30" s="17"/>
      <c r="E30" s="6" t="s">
        <v>21</v>
      </c>
      <c r="F30" s="17"/>
      <c r="G30" s="6" t="s">
        <v>26</v>
      </c>
      <c r="H30" s="11" t="s">
        <v>45</v>
      </c>
      <c r="I30" s="18">
        <f>F30*D30</f>
        <v>0</v>
      </c>
      <c r="J30" s="6" t="s">
        <v>29</v>
      </c>
      <c r="K30" s="6"/>
      <c r="L30" s="6"/>
      <c r="M30" s="6"/>
      <c r="N30" s="6"/>
      <c r="O30" s="6"/>
      <c r="P30" s="6"/>
      <c r="Q30" s="6"/>
      <c r="R30" s="6"/>
      <c r="S30" s="7"/>
      <c r="T30" s="8"/>
    </row>
    <row r="31" spans="1:20" ht="12.75">
      <c r="A31" s="9"/>
      <c r="B31" s="6"/>
      <c r="C31" s="6"/>
      <c r="D31" s="17"/>
      <c r="E31" s="6" t="s">
        <v>21</v>
      </c>
      <c r="F31" s="17"/>
      <c r="G31" s="6" t="s">
        <v>26</v>
      </c>
      <c r="H31" s="11" t="s">
        <v>45</v>
      </c>
      <c r="I31" s="18">
        <f>F31*D31</f>
        <v>0</v>
      </c>
      <c r="J31" s="6" t="s">
        <v>29</v>
      </c>
      <c r="K31" s="6"/>
      <c r="L31" s="6"/>
      <c r="M31" s="6"/>
      <c r="N31" s="6"/>
      <c r="O31" s="6"/>
      <c r="P31" s="6"/>
      <c r="Q31" s="6"/>
      <c r="R31" s="6"/>
      <c r="S31" s="7"/>
      <c r="T31" s="8"/>
    </row>
    <row r="32" spans="1:20" ht="13.5" thickBot="1">
      <c r="A32" s="9"/>
      <c r="B32" s="6"/>
      <c r="C32" s="6"/>
      <c r="D32" s="17"/>
      <c r="E32" s="6" t="s">
        <v>21</v>
      </c>
      <c r="F32" s="17"/>
      <c r="G32" s="6" t="s">
        <v>26</v>
      </c>
      <c r="H32" s="11" t="s">
        <v>45</v>
      </c>
      <c r="I32" s="18">
        <f>F32*D32</f>
        <v>0</v>
      </c>
      <c r="J32" s="6" t="s">
        <v>29</v>
      </c>
      <c r="K32" s="6"/>
      <c r="L32" s="6"/>
      <c r="M32" s="6"/>
      <c r="N32" s="6"/>
      <c r="O32" s="6"/>
      <c r="P32" s="6"/>
      <c r="Q32" s="6"/>
      <c r="R32" s="6"/>
      <c r="S32" s="7"/>
      <c r="T32" s="8"/>
    </row>
    <row r="33" spans="1:20" ht="13.5" thickBot="1">
      <c r="A33" s="9"/>
      <c r="B33" s="6"/>
      <c r="C33" s="6"/>
      <c r="D33" s="6"/>
      <c r="E33" s="6"/>
      <c r="F33" s="6"/>
      <c r="G33" s="6"/>
      <c r="H33" s="11" t="s">
        <v>27</v>
      </c>
      <c r="I33" s="24">
        <f>SUM(I30:I32)+SUM(I24:I28)+SUM(I17:I20)+SUM(I13:I14)</f>
        <v>633500</v>
      </c>
      <c r="J33" s="6" t="s">
        <v>29</v>
      </c>
      <c r="K33" s="6"/>
      <c r="L33" s="6"/>
      <c r="M33" s="6"/>
      <c r="N33" s="6"/>
      <c r="O33" s="6"/>
      <c r="P33" s="6"/>
      <c r="Q33" s="6"/>
      <c r="R33" s="6"/>
      <c r="S33" s="7"/>
      <c r="T33" s="8"/>
    </row>
    <row r="34" spans="1:20" ht="12.75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8"/>
    </row>
    <row r="35" spans="1:20" ht="12.75">
      <c r="A35" s="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8"/>
    </row>
    <row r="36" spans="1:20" ht="12.75">
      <c r="A36" s="9"/>
      <c r="B36" s="6"/>
      <c r="C36" s="7"/>
      <c r="D36" s="6"/>
      <c r="E36" s="11" t="s">
        <v>22</v>
      </c>
      <c r="F36" s="17">
        <v>1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8"/>
    </row>
    <row r="37" spans="1:20" ht="12.75">
      <c r="A37" s="9"/>
      <c r="B37" s="6"/>
      <c r="C37" s="7"/>
      <c r="D37" s="6"/>
      <c r="E37" s="11" t="s">
        <v>23</v>
      </c>
      <c r="F37" s="17">
        <v>25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8"/>
    </row>
    <row r="38" spans="1:20" ht="12.75">
      <c r="A38" s="9"/>
      <c r="B38" s="6"/>
      <c r="C38" s="7"/>
      <c r="D38" s="6"/>
      <c r="E38" s="7"/>
      <c r="F38" s="6"/>
      <c r="G38" s="6"/>
      <c r="H38" s="11" t="s">
        <v>28</v>
      </c>
      <c r="I38" s="19">
        <f>ROUNDDOWN((I33*F37*F36)/(12*2000),0)</f>
        <v>659</v>
      </c>
      <c r="J38" s="6" t="s">
        <v>30</v>
      </c>
      <c r="K38" s="6"/>
      <c r="L38" s="6"/>
      <c r="M38" s="6"/>
      <c r="N38" s="6"/>
      <c r="O38" s="6"/>
      <c r="P38" s="6"/>
      <c r="Q38" s="6"/>
      <c r="R38" s="6"/>
      <c r="S38" s="7"/>
      <c r="T38" s="8"/>
    </row>
    <row r="39" spans="1:20" ht="12.75">
      <c r="A39" s="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8"/>
    </row>
    <row r="40" spans="1:20" ht="12.75">
      <c r="A40" s="9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8"/>
    </row>
    <row r="41" spans="1:20" ht="13.5" thickBot="1">
      <c r="A41" s="9"/>
      <c r="B41" s="16"/>
      <c r="C41" s="62" t="s">
        <v>11</v>
      </c>
      <c r="D41" s="26" t="s">
        <v>19</v>
      </c>
      <c r="E41" s="26" t="s">
        <v>20</v>
      </c>
      <c r="F41" s="6"/>
      <c r="G41" s="27"/>
      <c r="H41" s="28"/>
      <c r="I41" s="28"/>
      <c r="J41" s="28"/>
      <c r="K41" s="6"/>
      <c r="L41" s="6"/>
      <c r="M41" s="6"/>
      <c r="N41" s="6"/>
      <c r="O41" s="6"/>
      <c r="P41" s="6"/>
      <c r="Q41" s="6"/>
      <c r="R41" s="6"/>
      <c r="S41" s="7"/>
      <c r="T41" s="8"/>
    </row>
    <row r="42" spans="1:20" ht="15" customHeight="1" thickTop="1">
      <c r="A42" s="9"/>
      <c r="B42" s="6"/>
      <c r="C42" s="60" t="s">
        <v>12</v>
      </c>
      <c r="D42" s="29">
        <f>IF(D8=1,IF(D9&lt;3,IF(E7&lt;30,ROUNDDOWN(P13/S42,0),ROUNDUP(P13/S42,0)),ROUNDUP(P13/S42,0)),ROUNDUP(P13/S42,0))</f>
        <v>0</v>
      </c>
      <c r="E42" s="46">
        <f>P13</f>
        <v>156</v>
      </c>
      <c r="F42" s="61" t="s">
        <v>24</v>
      </c>
      <c r="G42" s="51">
        <v>1</v>
      </c>
      <c r="H42" s="28"/>
      <c r="I42" s="28"/>
      <c r="J42" s="28"/>
      <c r="K42" s="56"/>
      <c r="L42" s="7"/>
      <c r="M42" s="6"/>
      <c r="N42" s="57"/>
      <c r="O42" s="6"/>
      <c r="P42" s="6"/>
      <c r="Q42" s="6"/>
      <c r="R42" s="6"/>
      <c r="S42" s="49">
        <f>IF(G42=1,600,IF(G42=2,1500,IF(G42=3,2500,IF(OR(G42=4,G42=5),3000,IF(G42=6,4000,5000)))))</f>
        <v>600</v>
      </c>
      <c r="T42" s="8"/>
    </row>
    <row r="43" spans="1:20" ht="24" customHeight="1" thickBot="1">
      <c r="A43" s="9"/>
      <c r="B43" s="31"/>
      <c r="C43" s="60" t="s">
        <v>13</v>
      </c>
      <c r="D43" s="32">
        <f>IF(D8=1,IF(D42&gt;0,D42*2,1),ROUNDUP(P13/S42,0)*2)</f>
        <v>1</v>
      </c>
      <c r="E43" s="33">
        <f>P21</f>
        <v>6</v>
      </c>
      <c r="F43" s="61" t="s">
        <v>25</v>
      </c>
      <c r="G43" s="28"/>
      <c r="H43" s="28"/>
      <c r="I43" s="28"/>
      <c r="J43" s="28"/>
      <c r="K43" s="58"/>
      <c r="L43" s="59"/>
      <c r="M43" s="59"/>
      <c r="N43" s="59"/>
      <c r="O43" s="59"/>
      <c r="P43" s="59"/>
      <c r="Q43" s="59"/>
      <c r="R43" s="6"/>
      <c r="S43" s="7"/>
      <c r="T43" s="8"/>
    </row>
    <row r="44" spans="1:20" ht="13.5" thickTop="1">
      <c r="A44" s="9"/>
      <c r="B44" s="31"/>
      <c r="C44" s="60" t="s">
        <v>14</v>
      </c>
      <c r="D44" s="32">
        <f>IF(D8=1,IF(D9&gt;2,ROUNDUP(I33/7500000,0),IF(E7&lt;30,ROUNDDOWN(I33/750000,0),ROUNDUP(I33/750000,0))),ROUNDUP(I33/750000,0))</f>
        <v>0</v>
      </c>
      <c r="E44" s="6"/>
      <c r="F44" s="6"/>
      <c r="G44" s="55"/>
      <c r="H44" s="28"/>
      <c r="I44" s="28"/>
      <c r="J44" s="28"/>
      <c r="K44" s="6"/>
      <c r="L44" s="6"/>
      <c r="M44" s="6"/>
      <c r="N44" s="6"/>
      <c r="O44" s="6"/>
      <c r="P44" s="6"/>
      <c r="Q44" s="6"/>
      <c r="R44" s="6"/>
      <c r="S44" s="7"/>
      <c r="T44" s="8"/>
    </row>
    <row r="45" spans="1:20" ht="12.75">
      <c r="A45" s="9"/>
      <c r="B45" s="31"/>
      <c r="C45" s="60" t="s">
        <v>15</v>
      </c>
      <c r="D45" s="32">
        <f>IF(D8=1,IF(D9&gt;2,ROUNDUP(I33/7500000,0),IF(E7&lt;30,ROUNDDOWN(I33/750000,0),ROUNDUP(I33/750000,0))),ROUNDUP(I33/750000,0))</f>
        <v>0</v>
      </c>
      <c r="E45" s="6"/>
      <c r="F45" s="6"/>
      <c r="G45" s="55"/>
      <c r="H45" s="28"/>
      <c r="I45" s="28"/>
      <c r="J45" s="28"/>
      <c r="K45" s="6"/>
      <c r="L45" s="6"/>
      <c r="M45" s="6"/>
      <c r="N45" s="6"/>
      <c r="O45" s="6"/>
      <c r="P45" s="6"/>
      <c r="Q45" s="6"/>
      <c r="R45" s="6"/>
      <c r="S45" s="7"/>
      <c r="T45" s="8"/>
    </row>
    <row r="46" spans="1:20" ht="13.5" thickBot="1">
      <c r="A46" s="9"/>
      <c r="B46" s="6"/>
      <c r="C46" s="60" t="s">
        <v>16</v>
      </c>
      <c r="D46" s="34">
        <f>IF(SUM(I24:I28)&lt;250000,0,IF(SUM(I24:I28)&lt;500000,1,ROUNDDOWN(SUM(I24:I28)/500000,0)))</f>
        <v>0</v>
      </c>
      <c r="E46" s="6"/>
      <c r="F46" s="6"/>
      <c r="G46" s="55"/>
      <c r="H46" s="28"/>
      <c r="I46" s="28"/>
      <c r="J46" s="28"/>
      <c r="K46" s="6"/>
      <c r="L46" s="6"/>
      <c r="M46" s="6"/>
      <c r="N46" s="6"/>
      <c r="O46" s="6"/>
      <c r="P46" s="6"/>
      <c r="Q46" s="6"/>
      <c r="R46" s="6"/>
      <c r="S46" s="7"/>
      <c r="T46" s="8"/>
    </row>
    <row r="47" spans="1:20" ht="13.5" thickTop="1">
      <c r="A47" s="9"/>
      <c r="B47" s="43" t="s">
        <v>17</v>
      </c>
      <c r="C47" s="6"/>
      <c r="D47" s="6"/>
      <c r="E47" s="6"/>
      <c r="F47" s="6"/>
      <c r="G47" s="35"/>
      <c r="H47" s="35"/>
      <c r="I47" s="35"/>
      <c r="J47" s="35"/>
      <c r="K47" s="6"/>
      <c r="L47" s="6"/>
      <c r="M47" s="6"/>
      <c r="N47" s="6"/>
      <c r="O47" s="6"/>
      <c r="P47" s="6"/>
      <c r="Q47" s="6"/>
      <c r="R47" s="6"/>
      <c r="S47" s="7"/>
      <c r="T47" s="8"/>
    </row>
    <row r="48" spans="1:20" ht="12.7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8"/>
    </row>
    <row r="49" spans="1:20" ht="12.75">
      <c r="A49" s="9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8"/>
    </row>
    <row r="50" spans="1:20" ht="13.5" thickBot="1">
      <c r="A50" s="45"/>
      <c r="B50" s="36" t="s">
        <v>18</v>
      </c>
      <c r="C50" s="36"/>
      <c r="D50" s="36"/>
      <c r="E50" s="36"/>
      <c r="F50" s="36"/>
      <c r="G50" s="36"/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50" t="s">
        <v>66</v>
      </c>
    </row>
  </sheetData>
  <sheetProtection sheet="1" objects="1" scenarios="1"/>
  <mergeCells count="2">
    <mergeCell ref="D5:E5"/>
    <mergeCell ref="D6:E6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7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4" sqref="A4"/>
    </sheetView>
  </sheetViews>
  <sheetFormatPr defaultColWidth="9.140625" defaultRowHeight="12.75"/>
  <cols>
    <col min="1" max="1" width="41.7109375" style="0" customWidth="1"/>
    <col min="2" max="2" width="16.140625" style="0" customWidth="1"/>
    <col min="3" max="3" width="13.421875" style="0" customWidth="1"/>
    <col min="4" max="4" width="8.421875" style="0" bestFit="1" customWidth="1"/>
    <col min="5" max="5" width="12.28125" style="0" bestFit="1" customWidth="1"/>
    <col min="6" max="6" width="26.7109375" style="0" customWidth="1"/>
  </cols>
  <sheetData>
    <row r="1" ht="15">
      <c r="A1" s="63" t="s">
        <v>52</v>
      </c>
    </row>
    <row r="3" spans="1:6" ht="12.75">
      <c r="A3" s="65" t="s">
        <v>53</v>
      </c>
      <c r="B3" s="65" t="s">
        <v>54</v>
      </c>
      <c r="C3" s="65" t="s">
        <v>55</v>
      </c>
      <c r="D3" s="65" t="s">
        <v>56</v>
      </c>
      <c r="E3" s="65" t="s">
        <v>57</v>
      </c>
      <c r="F3" s="65" t="s">
        <v>58</v>
      </c>
    </row>
    <row r="4" spans="1:6" ht="12.75">
      <c r="A4" s="64"/>
      <c r="B4" s="64"/>
      <c r="C4" s="64"/>
      <c r="D4" s="64"/>
      <c r="E4" s="64"/>
      <c r="F4" s="64"/>
    </row>
    <row r="5" spans="1:6" ht="12.75">
      <c r="A5" s="64"/>
      <c r="B5" s="64"/>
      <c r="C5" s="64"/>
      <c r="D5" s="64"/>
      <c r="E5" s="64"/>
      <c r="F5" s="64"/>
    </row>
    <row r="6" spans="1:6" ht="12.75">
      <c r="A6" s="64"/>
      <c r="B6" s="64"/>
      <c r="C6" s="64"/>
      <c r="D6" s="64"/>
      <c r="E6" s="64"/>
      <c r="F6" s="64"/>
    </row>
    <row r="7" spans="1:6" ht="12.75">
      <c r="A7" s="64"/>
      <c r="B7" s="64"/>
      <c r="C7" s="64"/>
      <c r="D7" s="64"/>
      <c r="E7" s="64"/>
      <c r="F7" s="64"/>
    </row>
    <row r="8" spans="1:6" ht="12.75">
      <c r="A8" s="64"/>
      <c r="B8" s="64"/>
      <c r="C8" s="64"/>
      <c r="D8" s="64"/>
      <c r="E8" s="64"/>
      <c r="F8" s="64"/>
    </row>
    <row r="9" spans="1:6" ht="12.75">
      <c r="A9" s="64"/>
      <c r="B9" s="64"/>
      <c r="C9" s="64"/>
      <c r="D9" s="64"/>
      <c r="E9" s="64"/>
      <c r="F9" s="64"/>
    </row>
    <row r="10" spans="1:6" ht="12.75">
      <c r="A10" s="64"/>
      <c r="B10" s="64"/>
      <c r="C10" s="64"/>
      <c r="D10" s="64"/>
      <c r="E10" s="64"/>
      <c r="F10" s="64"/>
    </row>
    <row r="11" spans="1:6" ht="12.75">
      <c r="A11" s="64"/>
      <c r="B11" s="64"/>
      <c r="C11" s="64"/>
      <c r="D11" s="64"/>
      <c r="E11" s="64"/>
      <c r="F11" s="64"/>
    </row>
    <row r="12" spans="1:6" ht="12.75">
      <c r="A12" s="64"/>
      <c r="B12" s="64"/>
      <c r="C12" s="64"/>
      <c r="D12" s="64"/>
      <c r="E12" s="64"/>
      <c r="F12" s="64"/>
    </row>
    <row r="13" spans="1:6" ht="12.75">
      <c r="A13" s="64"/>
      <c r="B13" s="64"/>
      <c r="C13" s="64"/>
      <c r="D13" s="64"/>
      <c r="E13" s="64"/>
      <c r="F13" s="64"/>
    </row>
    <row r="14" spans="1:6" ht="12.75">
      <c r="A14" s="64"/>
      <c r="B14" s="64"/>
      <c r="C14" s="64"/>
      <c r="D14" s="64"/>
      <c r="E14" s="64"/>
      <c r="F14" s="64"/>
    </row>
    <row r="15" spans="1:6" ht="12.75">
      <c r="A15" s="64"/>
      <c r="B15" s="64"/>
      <c r="C15" s="64"/>
      <c r="D15" s="64"/>
      <c r="E15" s="64"/>
      <c r="F15" s="64"/>
    </row>
    <row r="16" spans="1:6" ht="12.75">
      <c r="A16" s="64"/>
      <c r="B16" s="64"/>
      <c r="C16" s="64"/>
      <c r="D16" s="64"/>
      <c r="E16" s="64"/>
      <c r="F16" s="64"/>
    </row>
    <row r="17" spans="1:6" ht="12.75">
      <c r="A17" s="64"/>
      <c r="B17" s="64"/>
      <c r="C17" s="64"/>
      <c r="D17" s="64"/>
      <c r="E17" s="64"/>
      <c r="F17" s="64"/>
    </row>
    <row r="18" spans="1:6" ht="12.75">
      <c r="A18" s="64"/>
      <c r="B18" s="64"/>
      <c r="C18" s="64"/>
      <c r="D18" s="64"/>
      <c r="E18" s="64"/>
      <c r="F18" s="64"/>
    </row>
    <row r="19" spans="1:6" ht="12.75">
      <c r="A19" s="64"/>
      <c r="B19" s="64"/>
      <c r="C19" s="64"/>
      <c r="D19" s="64"/>
      <c r="E19" s="64"/>
      <c r="F19" s="64"/>
    </row>
    <row r="20" spans="1:6" ht="12.75">
      <c r="A20" s="64"/>
      <c r="B20" s="64"/>
      <c r="C20" s="64"/>
      <c r="D20" s="64"/>
      <c r="E20" s="64"/>
      <c r="F20" s="64"/>
    </row>
    <row r="21" spans="1:6" ht="12.75">
      <c r="A21" s="64"/>
      <c r="B21" s="64"/>
      <c r="C21" s="64"/>
      <c r="D21" s="64"/>
      <c r="E21" s="64"/>
      <c r="F21" s="64"/>
    </row>
    <row r="22" spans="1:6" ht="12.75">
      <c r="A22" s="64"/>
      <c r="B22" s="64"/>
      <c r="C22" s="64"/>
      <c r="D22" s="64"/>
      <c r="E22" s="64"/>
      <c r="F22" s="64"/>
    </row>
    <row r="23" spans="1:6" ht="12.75">
      <c r="A23" s="64"/>
      <c r="B23" s="64"/>
      <c r="C23" s="64"/>
      <c r="D23" s="64"/>
      <c r="E23" s="64"/>
      <c r="F23" s="64"/>
    </row>
    <row r="24" spans="1:6" ht="12.75">
      <c r="A24" s="64"/>
      <c r="B24" s="64"/>
      <c r="C24" s="64"/>
      <c r="D24" s="64"/>
      <c r="E24" s="64"/>
      <c r="F24" s="64"/>
    </row>
    <row r="25" spans="1:6" ht="12.75">
      <c r="A25" s="64"/>
      <c r="B25" s="64"/>
      <c r="C25" s="64"/>
      <c r="D25" s="64"/>
      <c r="E25" s="64"/>
      <c r="F25" s="64"/>
    </row>
    <row r="26" spans="1:6" ht="12.75">
      <c r="A26" s="64"/>
      <c r="B26" s="64"/>
      <c r="C26" s="64"/>
      <c r="D26" s="64"/>
      <c r="E26" s="64"/>
      <c r="F26" s="64"/>
    </row>
    <row r="27" spans="1:6" ht="12.75">
      <c r="A27" s="64"/>
      <c r="B27" s="64"/>
      <c r="C27" s="64"/>
      <c r="D27" s="64"/>
      <c r="E27" s="64"/>
      <c r="F27" s="64"/>
    </row>
    <row r="28" spans="1:6" ht="12.75">
      <c r="A28" s="64"/>
      <c r="B28" s="64"/>
      <c r="C28" s="64"/>
      <c r="D28" s="64"/>
      <c r="E28" s="64"/>
      <c r="F28" s="64"/>
    </row>
    <row r="29" spans="1:6" ht="12.75">
      <c r="A29" s="64"/>
      <c r="B29" s="64"/>
      <c r="C29" s="64"/>
      <c r="D29" s="64"/>
      <c r="E29" s="64"/>
      <c r="F29" s="64"/>
    </row>
    <row r="30" spans="1:6" ht="12.75">
      <c r="A30" s="64"/>
      <c r="B30" s="64"/>
      <c r="C30" s="64"/>
      <c r="D30" s="64"/>
      <c r="E30" s="64"/>
      <c r="F30" s="64"/>
    </row>
    <row r="31" spans="1:6" ht="12.75">
      <c r="A31" s="64"/>
      <c r="B31" s="64"/>
      <c r="C31" s="64"/>
      <c r="D31" s="64"/>
      <c r="E31" s="64"/>
      <c r="F31" s="64"/>
    </row>
    <row r="32" spans="1:6" ht="12.75">
      <c r="A32" s="64"/>
      <c r="B32" s="64"/>
      <c r="C32" s="64"/>
      <c r="D32" s="64"/>
      <c r="E32" s="64"/>
      <c r="F32" s="64"/>
    </row>
    <row r="33" spans="1:6" ht="12.75">
      <c r="A33" s="64"/>
      <c r="B33" s="64"/>
      <c r="C33" s="64"/>
      <c r="D33" s="64"/>
      <c r="E33" s="64"/>
      <c r="F33" s="64"/>
    </row>
    <row r="34" spans="1:6" ht="12.75">
      <c r="A34" s="64"/>
      <c r="B34" s="64"/>
      <c r="C34" s="64"/>
      <c r="D34" s="64"/>
      <c r="E34" s="64"/>
      <c r="F34" s="64"/>
    </row>
    <row r="35" spans="1:6" ht="12.75">
      <c r="A35" s="64"/>
      <c r="B35" s="64"/>
      <c r="C35" s="64"/>
      <c r="D35" s="64"/>
      <c r="E35" s="64"/>
      <c r="F35" s="64"/>
    </row>
    <row r="36" spans="1:6" ht="12.75">
      <c r="A36" s="64"/>
      <c r="B36" s="64"/>
      <c r="C36" s="64"/>
      <c r="D36" s="64"/>
      <c r="E36" s="64"/>
      <c r="F36" s="64"/>
    </row>
    <row r="37" spans="1:6" ht="12.75">
      <c r="A37" s="64"/>
      <c r="B37" s="64"/>
      <c r="C37" s="64"/>
      <c r="D37" s="64"/>
      <c r="E37" s="64"/>
      <c r="F37" s="64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&amp;CInventory&amp;R&amp;D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6" sqref="A6"/>
    </sheetView>
  </sheetViews>
  <sheetFormatPr defaultColWidth="9.140625" defaultRowHeight="12.75"/>
  <sheetData>
    <row r="1" spans="1:5" ht="12.75">
      <c r="A1" t="s">
        <v>46</v>
      </c>
      <c r="C1" t="s">
        <v>48</v>
      </c>
      <c r="E1" t="s">
        <v>59</v>
      </c>
    </row>
    <row r="2" spans="1:5" ht="12.75">
      <c r="A2" t="s">
        <v>47</v>
      </c>
      <c r="C2" t="s">
        <v>49</v>
      </c>
      <c r="E2" t="s">
        <v>60</v>
      </c>
    </row>
    <row r="3" spans="3:5" ht="12.75">
      <c r="C3" t="s">
        <v>50</v>
      </c>
      <c r="E3" t="s">
        <v>61</v>
      </c>
    </row>
    <row r="4" spans="3:5" ht="12.75">
      <c r="C4" t="s">
        <v>51</v>
      </c>
      <c r="E4" t="s">
        <v>62</v>
      </c>
    </row>
    <row r="5" ht="12.75">
      <c r="E5" t="s">
        <v>64</v>
      </c>
    </row>
    <row r="6" ht="12.75">
      <c r="E6" t="s">
        <v>63</v>
      </c>
    </row>
    <row r="7" ht="12.75">
      <c r="E7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816-329-2600</Manager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Snow Removal Equipment Calculations</dc:title>
  <dc:subject>SRE eligibility</dc:subject>
  <dc:creator>FAA Central Region Airports Division, Planning Section</dc:creator>
  <cp:keywords/>
  <dc:description/>
  <cp:lastModifiedBy>user</cp:lastModifiedBy>
  <cp:lastPrinted>2010-03-22T18:41:31Z</cp:lastPrinted>
  <dcterms:created xsi:type="dcterms:W3CDTF">2010-03-22T11:33:11Z</dcterms:created>
  <dcterms:modified xsi:type="dcterms:W3CDTF">2012-01-05T18:15:23Z</dcterms:modified>
  <cp:category/>
  <cp:version/>
  <cp:contentType/>
  <cp:contentStatus/>
</cp:coreProperties>
</file>